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activeTab="0"/>
  </bookViews>
  <sheets>
    <sheet name="PV" sheetId="1" r:id="rId1"/>
    <sheet name="at Mean Temp." sheetId="2" r:id="rId2"/>
    <sheet name="Nozzle" sheetId="3" r:id="rId3"/>
    <sheet name="ECO" sheetId="4" r:id="rId4"/>
    <sheet name="WHB" sheetId="5" r:id="rId5"/>
    <sheet name="tube" sheetId="6" r:id="rId6"/>
    <sheet name="a" sheetId="7" r:id="rId7"/>
  </sheets>
  <definedNames>
    <definedName name="_xlnm.Print_Area" localSheetId="6">'a'!$A$1:$U$63</definedName>
    <definedName name="_xlnm.Print_Area" localSheetId="1">'at Mean Temp.'!$A$1:$U$63</definedName>
    <definedName name="_xlnm.Print_Area" localSheetId="3">'ECO'!$A$1:$U$63</definedName>
    <definedName name="_xlnm.Print_Area" localSheetId="2">'Nozzle'!$A$1:$U$63</definedName>
    <definedName name="_xlnm.Print_Area" localSheetId="0">'PV'!$A$1:$U$63</definedName>
    <definedName name="_xlnm.Print_Area" localSheetId="5">'tube'!$A$1:$U$63</definedName>
    <definedName name="_xlnm.Print_Area" localSheetId="4">'WHB'!$A$1:$U$63</definedName>
  </definedNames>
  <calcPr fullCalcOnLoad="1"/>
</workbook>
</file>

<file path=xl/sharedStrings.xml><?xml version="1.0" encoding="utf-8"?>
<sst xmlns="http://schemas.openxmlformats.org/spreadsheetml/2006/main" count="669" uniqueCount="336">
  <si>
    <t xml:space="preserve"> Project</t>
  </si>
  <si>
    <t xml:space="preserve"> Client</t>
  </si>
  <si>
    <t xml:space="preserve"> Contractor</t>
  </si>
  <si>
    <t xml:space="preserve"> Service of Unit</t>
  </si>
  <si>
    <t>Item No.</t>
  </si>
  <si>
    <r>
      <t xml:space="preserve"> </t>
    </r>
    <r>
      <rPr>
        <b/>
        <u val="single"/>
        <sz val="8"/>
        <rFont val="Arial"/>
        <family val="2"/>
      </rPr>
      <t>Remarks</t>
    </r>
  </si>
  <si>
    <t>Job No.</t>
  </si>
  <si>
    <t>Doc. No.</t>
  </si>
  <si>
    <t>Date</t>
  </si>
  <si>
    <t>Revision</t>
  </si>
  <si>
    <t>A</t>
  </si>
  <si>
    <t>B</t>
  </si>
  <si>
    <t>P</t>
  </si>
  <si>
    <t>T</t>
  </si>
  <si>
    <t>- B L A N K -</t>
  </si>
  <si>
    <t>T H E R M A L     E X P A N S I O N     C A L C U L A T I O N</t>
  </si>
  <si>
    <t>CAL - TEXP - 100</t>
  </si>
  <si>
    <t>D E S I G N     D A T A</t>
  </si>
  <si>
    <t xml:space="preserve"> Fluid Name</t>
  </si>
  <si>
    <t xml:space="preserve"> Temperature</t>
  </si>
  <si>
    <t>Oper.</t>
  </si>
  <si>
    <t>Design</t>
  </si>
  <si>
    <t>Ambient</t>
  </si>
  <si>
    <t>Water</t>
  </si>
  <si>
    <t>℃</t>
  </si>
  <si>
    <t xml:space="preserve"> Shell Material Code</t>
  </si>
  <si>
    <t>ASTM</t>
  </si>
  <si>
    <t>plate</t>
  </si>
  <si>
    <t>A 516-70</t>
  </si>
  <si>
    <t>Mat. Kind</t>
  </si>
  <si>
    <t>S C H E M A T I C</t>
  </si>
  <si>
    <t>mm</t>
  </si>
  <si>
    <t>C A L C U L A T I O N</t>
  </si>
  <si>
    <t>αT</t>
  </si>
  <si>
    <t>αTa</t>
  </si>
  <si>
    <t>Δ</t>
  </si>
  <si>
    <t>=</t>
  </si>
  <si>
    <t>Length</t>
  </si>
  <si>
    <t>mm</t>
  </si>
  <si>
    <t>Elongation</t>
  </si>
  <si>
    <t>x  (</t>
  </si>
  <si>
    <t>x</t>
  </si>
  <si>
    <t>-</t>
  </si>
  <si>
    <t>x</t>
  </si>
  <si>
    <t>)  /  10^6</t>
  </si>
  <si>
    <t>=</t>
  </si>
  <si>
    <t xml:space="preserve">Where, </t>
  </si>
  <si>
    <t>Ta</t>
  </si>
  <si>
    <t>To</t>
  </si>
  <si>
    <t>Td</t>
  </si>
  <si>
    <t>Pressuer Vessel</t>
  </si>
  <si>
    <t>PV - 100</t>
  </si>
  <si>
    <r>
      <t xml:space="preserve"> </t>
    </r>
    <r>
      <rPr>
        <b/>
        <u val="single"/>
        <sz val="8"/>
        <rFont val="Arial"/>
        <family val="2"/>
      </rPr>
      <t>Calculation Formula</t>
    </r>
  </si>
  <si>
    <t>L</t>
  </si>
  <si>
    <t>Symbol</t>
  </si>
  <si>
    <t>1.</t>
  </si>
  <si>
    <t>2.</t>
  </si>
  <si>
    <t>3.</t>
  </si>
  <si>
    <t>4.</t>
  </si>
  <si>
    <t>5.</t>
  </si>
  <si>
    <t>Mean coefficient of thermal expansion values are from TEMA, Table D-11.</t>
  </si>
  <si>
    <t xml:space="preserve"> Material Designation</t>
  </si>
  <si>
    <t>&lt;-</t>
  </si>
  <si>
    <t>x</t>
  </si>
  <si>
    <t>(</t>
  </si>
  <si>
    <t>-</t>
  </si>
  <si>
    <t>Using  Coeff.  at  Mean Temp.</t>
  </si>
  <si>
    <t>αm</t>
  </si>
  <si>
    <t>Mean Coeff. of Thermal Expansion at Mean Temp.</t>
  </si>
  <si>
    <t>T H E R M A L     E X P A N S I O N     C A L C U L A T I O N</t>
  </si>
  <si>
    <t xml:space="preserve"> Project</t>
  </si>
  <si>
    <t>P</t>
  </si>
  <si>
    <t>Job No.</t>
  </si>
  <si>
    <t xml:space="preserve"> Client</t>
  </si>
  <si>
    <t>A</t>
  </si>
  <si>
    <t>CAL - TEXP - 100</t>
  </si>
  <si>
    <t xml:space="preserve"> Contractor</t>
  </si>
  <si>
    <t>B</t>
  </si>
  <si>
    <t>Date</t>
  </si>
  <si>
    <t>Revision</t>
  </si>
  <si>
    <t xml:space="preserve"> Service of Unit</t>
  </si>
  <si>
    <t>Pressuer Vessel</t>
  </si>
  <si>
    <t>Item No.</t>
  </si>
  <si>
    <t>PV - 100</t>
  </si>
  <si>
    <t>D E S I G N     D A T A</t>
  </si>
  <si>
    <t xml:space="preserve"> Fluid Name</t>
  </si>
  <si>
    <t>Water</t>
  </si>
  <si>
    <t xml:space="preserve"> Shell Material Code</t>
  </si>
  <si>
    <t>Mat. Kind</t>
  </si>
  <si>
    <t xml:space="preserve"> Temperature</t>
  </si>
  <si>
    <t>Oper.</t>
  </si>
  <si>
    <t>To</t>
  </si>
  <si>
    <t xml:space="preserve"> Material Designation</t>
  </si>
  <si>
    <t>Design</t>
  </si>
  <si>
    <t>Td</t>
  </si>
  <si>
    <t>Ambient</t>
  </si>
  <si>
    <t>Ta</t>
  </si>
  <si>
    <t>S C H E M A T I C</t>
  </si>
  <si>
    <t>Symbol</t>
  </si>
  <si>
    <t>mm</t>
  </si>
  <si>
    <t>L</t>
  </si>
  <si>
    <t>C A L C U L A T I O N</t>
  </si>
  <si>
    <r>
      <t xml:space="preserve"> </t>
    </r>
    <r>
      <rPr>
        <b/>
        <u val="single"/>
        <sz val="8"/>
        <rFont val="Arial"/>
        <family val="2"/>
      </rPr>
      <t>Calculation Formula</t>
    </r>
  </si>
  <si>
    <t>Δ</t>
  </si>
  <si>
    <t>=</t>
  </si>
  <si>
    <t xml:space="preserve">Where, </t>
  </si>
  <si>
    <t>Elongation</t>
  </si>
  <si>
    <t>Length</t>
  </si>
  <si>
    <t>αm</t>
  </si>
  <si>
    <t>Mean Coeff. of Thermal Expansion at Mean Temp.</t>
  </si>
  <si>
    <t>T</t>
  </si>
  <si>
    <t>x</t>
  </si>
  <si>
    <t>-</t>
  </si>
  <si>
    <t>(</t>
  </si>
  <si>
    <t>- B L A N K -</t>
  </si>
  <si>
    <r>
      <t xml:space="preserve"> </t>
    </r>
    <r>
      <rPr>
        <b/>
        <u val="single"/>
        <sz val="8"/>
        <rFont val="Arial"/>
        <family val="2"/>
      </rPr>
      <t>Remarks</t>
    </r>
  </si>
  <si>
    <t>1.</t>
  </si>
  <si>
    <t>Mean coefficient of thermal expansion values are from TEMA, Table D-11.</t>
  </si>
  <si>
    <t>2.</t>
  </si>
  <si>
    <t>3.</t>
  </si>
  <si>
    <t>4.</t>
  </si>
  <si>
    <t>5.</t>
  </si>
  <si>
    <t>)  /  10^6</t>
  </si>
  <si>
    <t>Doc. No.</t>
  </si>
  <si>
    <t>J</t>
  </si>
  <si>
    <t>*2)</t>
  </si>
  <si>
    <t>*3)</t>
  </si>
  <si>
    <t>*4)</t>
  </si>
  <si>
    <t>D E S I G N     I N F O R M A T I O N</t>
  </si>
  <si>
    <t xml:space="preserve"> Project</t>
  </si>
  <si>
    <t>Job No.</t>
  </si>
  <si>
    <t xml:space="preserve"> Client</t>
  </si>
  <si>
    <t>Doc. No.</t>
  </si>
  <si>
    <t>DI - AAA - 100</t>
  </si>
  <si>
    <t xml:space="preserve"> Contractor</t>
  </si>
  <si>
    <t>Date</t>
  </si>
  <si>
    <t xml:space="preserve"> Code/Standard</t>
  </si>
  <si>
    <t>Revision</t>
  </si>
  <si>
    <t xml:space="preserve"> Service of Unit</t>
  </si>
  <si>
    <t>Item No.</t>
  </si>
  <si>
    <t xml:space="preserve"> Type</t>
  </si>
  <si>
    <t>A A A A A</t>
  </si>
  <si>
    <r>
      <t xml:space="preserve"> </t>
    </r>
    <r>
      <rPr>
        <b/>
        <u val="single"/>
        <sz val="8"/>
        <rFont val="Arial"/>
        <family val="2"/>
      </rPr>
      <t>Remarks</t>
    </r>
  </si>
  <si>
    <t>*1)</t>
  </si>
  <si>
    <t>*5)</t>
  </si>
  <si>
    <t>J</t>
  </si>
  <si>
    <t>2013.   1.   1.</t>
  </si>
  <si>
    <t>T H E R M A L     E X P A N S I O N     C A L C U L A T I O N</t>
  </si>
  <si>
    <t xml:space="preserve"> Project</t>
  </si>
  <si>
    <t xml:space="preserve"> Client</t>
  </si>
  <si>
    <t>Doc. No.</t>
  </si>
  <si>
    <t>CAL - TEXP - 100</t>
  </si>
  <si>
    <t xml:space="preserve"> Contractor</t>
  </si>
  <si>
    <t>Date</t>
  </si>
  <si>
    <t>Revision</t>
  </si>
  <si>
    <t xml:space="preserve"> Service of Unit</t>
  </si>
  <si>
    <t>Pressuer Vessel</t>
  </si>
  <si>
    <t>Item No.</t>
  </si>
  <si>
    <t>PV - 100</t>
  </si>
  <si>
    <t>D E S I G N     D A T A</t>
  </si>
  <si>
    <t xml:space="preserve"> Fluid Name</t>
  </si>
  <si>
    <t>Water</t>
  </si>
  <si>
    <t>Mat. Kind</t>
  </si>
  <si>
    <t xml:space="preserve"> Temperature</t>
  </si>
  <si>
    <t>Oper.</t>
  </si>
  <si>
    <t>To</t>
  </si>
  <si>
    <t>Design</t>
  </si>
  <si>
    <t>Td</t>
  </si>
  <si>
    <t>Ambient</t>
  </si>
  <si>
    <t>Ta</t>
  </si>
  <si>
    <t>S C H E M A T I C</t>
  </si>
  <si>
    <t>Symbol</t>
  </si>
  <si>
    <t>mm</t>
  </si>
  <si>
    <t>C A L C U L A T I O N</t>
  </si>
  <si>
    <t>Using  Coeff.  at  Mean Temp.</t>
  </si>
  <si>
    <r>
      <t xml:space="preserve"> </t>
    </r>
    <r>
      <rPr>
        <b/>
        <u val="single"/>
        <sz val="8"/>
        <rFont val="Arial"/>
        <family val="2"/>
      </rPr>
      <t>Calculation Formula</t>
    </r>
  </si>
  <si>
    <t>Δ</t>
  </si>
  <si>
    <t>=</t>
  </si>
  <si>
    <t xml:space="preserve">Where, </t>
  </si>
  <si>
    <t>Elongation</t>
  </si>
  <si>
    <t>Length</t>
  </si>
  <si>
    <t>αT</t>
  </si>
  <si>
    <t>αm</t>
  </si>
  <si>
    <t>Mean Coeff. of Thermal Expansion at Mean Temp.</t>
  </si>
  <si>
    <t>T</t>
  </si>
  <si>
    <t>αTa</t>
  </si>
  <si>
    <t>x  (</t>
  </si>
  <si>
    <t>x</t>
  </si>
  <si>
    <t>-</t>
  </si>
  <si>
    <t>)  /  10^6</t>
  </si>
  <si>
    <t>&lt;-</t>
  </si>
  <si>
    <t>(</t>
  </si>
  <si>
    <t>- B L A N K -</t>
  </si>
  <si>
    <r>
      <t xml:space="preserve"> </t>
    </r>
    <r>
      <rPr>
        <b/>
        <u val="single"/>
        <sz val="8"/>
        <rFont val="Arial"/>
        <family val="2"/>
      </rPr>
      <t>Remarks</t>
    </r>
  </si>
  <si>
    <t>1.</t>
  </si>
  <si>
    <t>Mean coefficient of thermal expansion values are from TEMA, Table D-11.</t>
  </si>
  <si>
    <t>2.</t>
  </si>
  <si>
    <t>3.</t>
  </si>
  <si>
    <t>4.</t>
  </si>
  <si>
    <t>5.</t>
  </si>
  <si>
    <t>Samsung Electronics Incinerator Revamping Project</t>
  </si>
  <si>
    <t>Samsung Electronics Co., Ltd.</t>
  </si>
  <si>
    <t>Samsung Engineering Co., Ltd.</t>
  </si>
  <si>
    <t>Reference Line</t>
  </si>
  <si>
    <t>" A "</t>
  </si>
  <si>
    <t>" X "</t>
  </si>
  <si>
    <t xml:space="preserve"> Nozzle</t>
  </si>
  <si>
    <t xml:space="preserve"> Vessel</t>
  </si>
  <si>
    <t>Shell Material Code</t>
  </si>
  <si>
    <t>Material Designation</t>
  </si>
  <si>
    <t>Material Code</t>
  </si>
  <si>
    <t>pipe</t>
  </si>
  <si>
    <t>KS</t>
  </si>
  <si>
    <t>SPPS 370 E</t>
  </si>
  <si>
    <t>Origin</t>
  </si>
  <si>
    <t>" Z "</t>
  </si>
  <si>
    <t>Length or Height</t>
  </si>
  <si>
    <t>Displacement</t>
  </si>
  <si>
    <t>X</t>
  </si>
  <si>
    <t>Z</t>
  </si>
  <si>
    <t>SE2518</t>
  </si>
  <si>
    <t>Project No.</t>
  </si>
  <si>
    <t>T H E R M A L     E X P A N S I O N     C A L C U L A T I O N</t>
  </si>
  <si>
    <t xml:space="preserve"> Project</t>
  </si>
  <si>
    <t xml:space="preserve"> Client</t>
  </si>
  <si>
    <t>Doc. No.</t>
  </si>
  <si>
    <t>CAL - TEXP - 100</t>
  </si>
  <si>
    <t xml:space="preserve"> Contractor</t>
  </si>
  <si>
    <t>Date</t>
  </si>
  <si>
    <t>Revision</t>
  </si>
  <si>
    <t xml:space="preserve"> Service of Unit</t>
  </si>
  <si>
    <t>Item No.</t>
  </si>
  <si>
    <t>D E S I G N     D A T A</t>
  </si>
  <si>
    <t xml:space="preserve"> Fluid Name</t>
  </si>
  <si>
    <t>Water</t>
  </si>
  <si>
    <t>Mat. Kind</t>
  </si>
  <si>
    <t xml:space="preserve"> Temperature</t>
  </si>
  <si>
    <t>Oper.</t>
  </si>
  <si>
    <t>To</t>
  </si>
  <si>
    <t xml:space="preserve"> Material Designation</t>
  </si>
  <si>
    <t>Design</t>
  </si>
  <si>
    <t>Td</t>
  </si>
  <si>
    <t>Ambient</t>
  </si>
  <si>
    <t>Ta</t>
  </si>
  <si>
    <t>S C H E M A T I C</t>
  </si>
  <si>
    <t>Symbol</t>
  </si>
  <si>
    <t>mm</t>
  </si>
  <si>
    <t>L</t>
  </si>
  <si>
    <t>C A L C U L A T I O N</t>
  </si>
  <si>
    <t>Using  Coeff.  at  Mean Temp.</t>
  </si>
  <si>
    <r>
      <t xml:space="preserve"> </t>
    </r>
    <r>
      <rPr>
        <b/>
        <u val="single"/>
        <sz val="8"/>
        <rFont val="Arial"/>
        <family val="2"/>
      </rPr>
      <t>Calculation Formula</t>
    </r>
  </si>
  <si>
    <t>Δ</t>
  </si>
  <si>
    <t>=</t>
  </si>
  <si>
    <t xml:space="preserve">Where, </t>
  </si>
  <si>
    <t>Elongation</t>
  </si>
  <si>
    <t>Length</t>
  </si>
  <si>
    <t>αT</t>
  </si>
  <si>
    <t>αm</t>
  </si>
  <si>
    <t>Mean Coeff. of Thermal Expansion at Mean Temp.</t>
  </si>
  <si>
    <t>T</t>
  </si>
  <si>
    <t>αTa</t>
  </si>
  <si>
    <t>x  (</t>
  </si>
  <si>
    <t>x</t>
  </si>
  <si>
    <t>-</t>
  </si>
  <si>
    <t>)  /  10^6</t>
  </si>
  <si>
    <t>&lt;-</t>
  </si>
  <si>
    <t>(</t>
  </si>
  <si>
    <t>- B L A N K -</t>
  </si>
  <si>
    <r>
      <t xml:space="preserve"> </t>
    </r>
    <r>
      <rPr>
        <b/>
        <u val="single"/>
        <sz val="8"/>
        <rFont val="Arial"/>
        <family val="2"/>
      </rPr>
      <t>Remarks</t>
    </r>
  </si>
  <si>
    <t>1.</t>
  </si>
  <si>
    <t>Mean coefficient of thermal expansion values are from TEMA, Table D-11.</t>
  </si>
  <si>
    <t>2.</t>
  </si>
  <si>
    <t>3.</t>
  </si>
  <si>
    <t>4.</t>
  </si>
  <si>
    <t>5.</t>
  </si>
  <si>
    <t>Project No.</t>
  </si>
  <si>
    <t>SE2518</t>
  </si>
  <si>
    <t xml:space="preserve"> Material Code</t>
  </si>
  <si>
    <t>tube</t>
  </si>
  <si>
    <t>A 178-A</t>
  </si>
  <si>
    <t>Economiser</t>
  </si>
  <si>
    <t>ECO - 100</t>
  </si>
  <si>
    <t>Samsung Electronics Incinerator Revamping Project</t>
  </si>
  <si>
    <t>Project No.</t>
  </si>
  <si>
    <t>SE2518</t>
  </si>
  <si>
    <t>Samsung Electronics Co., Ltd.</t>
  </si>
  <si>
    <t>Samsung Engineering Co., Ltd.</t>
  </si>
  <si>
    <t>Economiser</t>
  </si>
  <si>
    <t>ECO - 100</t>
  </si>
  <si>
    <t xml:space="preserve"> Material Code</t>
  </si>
  <si>
    <t>" B "</t>
  </si>
  <si>
    <t>Fixed Point</t>
  </si>
  <si>
    <t>=</t>
  </si>
  <si>
    <t>+</t>
  </si>
  <si>
    <t xml:space="preserve"> Project</t>
  </si>
  <si>
    <t xml:space="preserve"> Client</t>
  </si>
  <si>
    <t xml:space="preserve"> Contractor</t>
  </si>
  <si>
    <t>Date</t>
  </si>
  <si>
    <t>Revision</t>
  </si>
  <si>
    <t xml:space="preserve"> Service of Unit</t>
  </si>
  <si>
    <t>Item No.</t>
  </si>
  <si>
    <t xml:space="preserve"> Fluid Name</t>
  </si>
  <si>
    <t>Water</t>
  </si>
  <si>
    <t>Oper.</t>
  </si>
  <si>
    <t>Design</t>
  </si>
  <si>
    <t>Ambient</t>
  </si>
  <si>
    <t>Symbol</t>
  </si>
  <si>
    <t>L</t>
  </si>
  <si>
    <t>αT</t>
  </si>
  <si>
    <t>αTa</t>
  </si>
  <si>
    <t>Displacement</t>
  </si>
  <si>
    <t>-</t>
  </si>
  <si>
    <t>+</t>
  </si>
  <si>
    <t>- B L A N K -</t>
  </si>
  <si>
    <r>
      <t xml:space="preserve"> </t>
    </r>
    <r>
      <rPr>
        <b/>
        <u val="single"/>
        <sz val="8"/>
        <rFont val="Arial"/>
        <family val="2"/>
      </rPr>
      <t>Remarks</t>
    </r>
  </si>
  <si>
    <t>2.</t>
  </si>
  <si>
    <t>CAL - TUBE - 100</t>
  </si>
  <si>
    <t xml:space="preserve"> Designation</t>
  </si>
  <si>
    <t>Tube</t>
  </si>
  <si>
    <t>Fin</t>
  </si>
  <si>
    <t>A 283-C</t>
  </si>
  <si>
    <t>OD</t>
  </si>
  <si>
    <t>Thick</t>
  </si>
  <si>
    <t>Pitch</t>
  </si>
  <si>
    <t>Di</t>
  </si>
  <si>
    <t>Dm</t>
  </si>
  <si>
    <t>π</t>
  </si>
  <si>
    <t xml:space="preserve"> Dme</t>
  </si>
  <si>
    <t>)   /</t>
  </si>
  <si>
    <t>-</t>
  </si>
  <si>
    <t>=</t>
  </si>
  <si>
    <t>-</t>
  </si>
  <si>
    <t>2015.   1.   10.</t>
  </si>
  <si>
    <t xml:space="preserve">Narai Thermal Enginering Services </t>
  </si>
  <si>
    <t xml:space="preserve"> NTES</t>
  </si>
  <si>
    <t xml:space="preserve"> NTES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</si>
</sst>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00000_ "/>
    <numFmt numFmtId="180" formatCode="0.00000_ "/>
    <numFmt numFmtId="181" formatCode="0.0000_ "/>
    <numFmt numFmtId="182" formatCode="0.000_ "/>
    <numFmt numFmtId="183" formatCode="0.0000000_ "/>
    <numFmt numFmtId="184" formatCode="0_ "/>
  </numFmts>
  <fonts count="13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돋움"/>
      <family val="3"/>
    </font>
    <font>
      <u val="single"/>
      <sz val="22"/>
      <color indexed="12"/>
      <name val="돋움"/>
      <family val="3"/>
    </font>
    <font>
      <u val="single"/>
      <sz val="22"/>
      <color indexed="36"/>
      <name val="돋움"/>
      <family val="3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178" fontId="3" fillId="0" borderId="5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2" fillId="0" borderId="5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2" fontId="5" fillId="0" borderId="5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82" fontId="3" fillId="0" borderId="5" xfId="0" applyNumberFormat="1" applyFont="1" applyBorder="1" applyAlignment="1">
      <alignment horizontal="right"/>
    </xf>
    <xf numFmtId="182" fontId="2" fillId="0" borderId="5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13.emf" /><Relationship Id="rId4" Type="http://schemas.openxmlformats.org/officeDocument/2006/relationships/image" Target="../media/image6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26.emf" /><Relationship Id="rId5" Type="http://schemas.openxmlformats.org/officeDocument/2006/relationships/image" Target="../media/image29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10</xdr:col>
      <xdr:colOff>180975</xdr:colOff>
      <xdr:row>11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428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10</xdr:row>
      <xdr:rowOff>0</xdr:rowOff>
    </xdr:from>
    <xdr:to>
      <xdr:col>24</xdr:col>
      <xdr:colOff>0</xdr:colOff>
      <xdr:row>11</xdr:row>
      <xdr:rowOff>9525</xdr:rowOff>
    </xdr:to>
    <xdr:pic>
      <xdr:nvPicPr>
        <xdr:cNvPr id="2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9</xdr:row>
      <xdr:rowOff>0</xdr:rowOff>
    </xdr:from>
    <xdr:to>
      <xdr:col>17</xdr:col>
      <xdr:colOff>0</xdr:colOff>
      <xdr:row>10</xdr:row>
      <xdr:rowOff>9525</xdr:rowOff>
    </xdr:to>
    <xdr:pic>
      <xdr:nvPicPr>
        <xdr:cNvPr id="3" name="ComboBox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1285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10</xdr:row>
      <xdr:rowOff>0</xdr:rowOff>
    </xdr:from>
    <xdr:to>
      <xdr:col>17</xdr:col>
      <xdr:colOff>219075</xdr:colOff>
      <xdr:row>11</xdr:row>
      <xdr:rowOff>9525</xdr:rowOff>
    </xdr:to>
    <xdr:pic>
      <xdr:nvPicPr>
        <xdr:cNvPr id="4" name="ComboBox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42875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28575</xdr:colOff>
      <xdr:row>20</xdr:row>
      <xdr:rowOff>0</xdr:rowOff>
    </xdr:from>
    <xdr:to>
      <xdr:col>15</xdr:col>
      <xdr:colOff>285750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1971675" y="28575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2266950" y="2428875"/>
          <a:ext cx="2590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2266950" y="3286125"/>
          <a:ext cx="2590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0</xdr:colOff>
      <xdr:row>23</xdr:row>
      <xdr:rowOff>66675</xdr:rowOff>
    </xdr:to>
    <xdr:sp>
      <xdr:nvSpPr>
        <xdr:cNvPr id="8" name="Line 8"/>
        <xdr:cNvSpPr>
          <a:spLocks/>
        </xdr:cNvSpPr>
      </xdr:nvSpPr>
      <xdr:spPr>
        <a:xfrm>
          <a:off x="3562350" y="2381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247650</xdr:colOff>
      <xdr:row>23</xdr:row>
      <xdr:rowOff>0</xdr:rowOff>
    </xdr:to>
    <xdr:sp>
      <xdr:nvSpPr>
        <xdr:cNvPr id="9" name="Arc 9"/>
        <xdr:cNvSpPr>
          <a:spLocks/>
        </xdr:cNvSpPr>
      </xdr:nvSpPr>
      <xdr:spPr>
        <a:xfrm>
          <a:off x="4857750" y="2428875"/>
          <a:ext cx="247650" cy="857250"/>
        </a:xfrm>
        <a:prstGeom prst="arc">
          <a:avLst>
            <a:gd name="adj" fmla="val 2687881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857750" y="2428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304800</xdr:colOff>
      <xdr:row>17</xdr:row>
      <xdr:rowOff>0</xdr:rowOff>
    </xdr:from>
    <xdr:to>
      <xdr:col>14</xdr:col>
      <xdr:colOff>304800</xdr:colOff>
      <xdr:row>17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838700" y="2428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304800</xdr:colOff>
      <xdr:row>22</xdr:row>
      <xdr:rowOff>66675</xdr:rowOff>
    </xdr:from>
    <xdr:to>
      <xdr:col>14</xdr:col>
      <xdr:colOff>304800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838700" y="3209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0" y="3076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0</xdr:rowOff>
    </xdr:from>
    <xdr:to>
      <xdr:col>7</xdr:col>
      <xdr:colOff>0</xdr:colOff>
      <xdr:row>23</xdr:row>
      <xdr:rowOff>0</xdr:rowOff>
    </xdr:to>
    <xdr:sp>
      <xdr:nvSpPr>
        <xdr:cNvPr id="14" name="Arc 14"/>
        <xdr:cNvSpPr>
          <a:spLocks/>
        </xdr:cNvSpPr>
      </xdr:nvSpPr>
      <xdr:spPr>
        <a:xfrm flipH="1">
          <a:off x="2019300" y="2428875"/>
          <a:ext cx="247650" cy="857250"/>
        </a:xfrm>
        <a:prstGeom prst="arc">
          <a:avLst>
            <a:gd name="adj" fmla="val 2687881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18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2266950" y="2428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0</xdr:rowOff>
    </xdr:from>
    <xdr:to>
      <xdr:col>7</xdr:col>
      <xdr:colOff>19050</xdr:colOff>
      <xdr:row>17</xdr:row>
      <xdr:rowOff>85725</xdr:rowOff>
    </xdr:to>
    <xdr:sp>
      <xdr:nvSpPr>
        <xdr:cNvPr id="16" name="Line 16"/>
        <xdr:cNvSpPr>
          <a:spLocks/>
        </xdr:cNvSpPr>
      </xdr:nvSpPr>
      <xdr:spPr>
        <a:xfrm flipH="1">
          <a:off x="2286000" y="2428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66675</xdr:rowOff>
    </xdr:from>
    <xdr:to>
      <xdr:col>7</xdr:col>
      <xdr:colOff>19050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286000" y="3209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95250</xdr:rowOff>
    </xdr:from>
    <xdr:to>
      <xdr:col>7</xdr:col>
      <xdr:colOff>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66950" y="3095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209550</xdr:colOff>
      <xdr:row>23</xdr:row>
      <xdr:rowOff>0</xdr:rowOff>
    </xdr:from>
    <xdr:to>
      <xdr:col>8</xdr:col>
      <xdr:colOff>152400</xdr:colOff>
      <xdr:row>24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2476500" y="3286125"/>
          <a:ext cx="266700" cy="152400"/>
          <a:chOff x="205" y="2640"/>
          <a:chExt cx="28" cy="16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07" y="2655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07" y="265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208" y="264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226" y="2642"/>
            <a:ext cx="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5" y="2642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233" y="2640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H="1" flipV="1">
            <a:off x="205" y="2641"/>
            <a:ext cx="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>
            <a:off x="228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207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217" y="2652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13</xdr:col>
      <xdr:colOff>171450</xdr:colOff>
      <xdr:row>23</xdr:row>
      <xdr:rowOff>0</xdr:rowOff>
    </xdr:from>
    <xdr:to>
      <xdr:col>14</xdr:col>
      <xdr:colOff>114300</xdr:colOff>
      <xdr:row>24</xdr:row>
      <xdr:rowOff>9525</xdr:rowOff>
    </xdr:to>
    <xdr:grpSp>
      <xdr:nvGrpSpPr>
        <xdr:cNvPr id="30" name="Group 30"/>
        <xdr:cNvGrpSpPr>
          <a:grpSpLocks/>
        </xdr:cNvGrpSpPr>
      </xdr:nvGrpSpPr>
      <xdr:grpSpPr>
        <a:xfrm flipH="1">
          <a:off x="4381500" y="3286125"/>
          <a:ext cx="266700" cy="152400"/>
          <a:chOff x="205" y="2640"/>
          <a:chExt cx="28" cy="16"/>
        </a:xfrm>
        <a:solidFill>
          <a:srgbClr val="FFFFFF"/>
        </a:solidFill>
      </xdr:grpSpPr>
      <xdr:sp>
        <xdr:nvSpPr>
          <xdr:cNvPr id="31" name="Line 31"/>
          <xdr:cNvSpPr>
            <a:spLocks/>
          </xdr:cNvSpPr>
        </xdr:nvSpPr>
        <xdr:spPr>
          <a:xfrm>
            <a:off x="207" y="2655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07" y="265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 flipV="1">
            <a:off x="208" y="264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226" y="2642"/>
            <a:ext cx="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05" y="2642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233" y="2640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 flipV="1">
            <a:off x="205" y="2641"/>
            <a:ext cx="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>
            <a:off x="228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207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>
            <a:off x="217" y="2652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1" name="Line 92"/>
        <xdr:cNvSpPr>
          <a:spLocks/>
        </xdr:cNvSpPr>
      </xdr:nvSpPr>
      <xdr:spPr>
        <a:xfrm>
          <a:off x="2590800" y="3714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57150</xdr:rowOff>
    </xdr:from>
    <xdr:to>
      <xdr:col>8</xdr:col>
      <xdr:colOff>0</xdr:colOff>
      <xdr:row>26</xdr:row>
      <xdr:rowOff>47625</xdr:rowOff>
    </xdr:to>
    <xdr:sp>
      <xdr:nvSpPr>
        <xdr:cNvPr id="42" name="Line 93"/>
        <xdr:cNvSpPr>
          <a:spLocks/>
        </xdr:cNvSpPr>
      </xdr:nvSpPr>
      <xdr:spPr>
        <a:xfrm>
          <a:off x="2590800" y="3486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57150</xdr:rowOff>
    </xdr:from>
    <xdr:to>
      <xdr:col>14</xdr:col>
      <xdr:colOff>0</xdr:colOff>
      <xdr:row>26</xdr:row>
      <xdr:rowOff>38100</xdr:rowOff>
    </xdr:to>
    <xdr:sp>
      <xdr:nvSpPr>
        <xdr:cNvPr id="43" name="Line 94"/>
        <xdr:cNvSpPr>
          <a:spLocks/>
        </xdr:cNvSpPr>
      </xdr:nvSpPr>
      <xdr:spPr>
        <a:xfrm>
          <a:off x="4533900" y="3486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10</xdr:col>
      <xdr:colOff>180975</xdr:colOff>
      <xdr:row>11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428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10</xdr:row>
      <xdr:rowOff>0</xdr:rowOff>
    </xdr:from>
    <xdr:to>
      <xdr:col>24</xdr:col>
      <xdr:colOff>0</xdr:colOff>
      <xdr:row>11</xdr:row>
      <xdr:rowOff>9525</xdr:rowOff>
    </xdr:to>
    <xdr:pic>
      <xdr:nvPicPr>
        <xdr:cNvPr id="2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9</xdr:row>
      <xdr:rowOff>0</xdr:rowOff>
    </xdr:from>
    <xdr:to>
      <xdr:col>17</xdr:col>
      <xdr:colOff>0</xdr:colOff>
      <xdr:row>10</xdr:row>
      <xdr:rowOff>9525</xdr:rowOff>
    </xdr:to>
    <xdr:pic>
      <xdr:nvPicPr>
        <xdr:cNvPr id="3" name="ComboBox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1285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10</xdr:row>
      <xdr:rowOff>0</xdr:rowOff>
    </xdr:from>
    <xdr:to>
      <xdr:col>17</xdr:col>
      <xdr:colOff>219075</xdr:colOff>
      <xdr:row>11</xdr:row>
      <xdr:rowOff>9525</xdr:rowOff>
    </xdr:to>
    <xdr:pic>
      <xdr:nvPicPr>
        <xdr:cNvPr id="4" name="ComboBox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42875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28575</xdr:colOff>
      <xdr:row>20</xdr:row>
      <xdr:rowOff>0</xdr:rowOff>
    </xdr:from>
    <xdr:to>
      <xdr:col>15</xdr:col>
      <xdr:colOff>285750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1971675" y="28575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2266950" y="2428875"/>
          <a:ext cx="2590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2266950" y="3286125"/>
          <a:ext cx="2590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0</xdr:colOff>
      <xdr:row>23</xdr:row>
      <xdr:rowOff>66675</xdr:rowOff>
    </xdr:to>
    <xdr:sp>
      <xdr:nvSpPr>
        <xdr:cNvPr id="8" name="Line 8"/>
        <xdr:cNvSpPr>
          <a:spLocks/>
        </xdr:cNvSpPr>
      </xdr:nvSpPr>
      <xdr:spPr>
        <a:xfrm>
          <a:off x="3562350" y="2381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247650</xdr:colOff>
      <xdr:row>23</xdr:row>
      <xdr:rowOff>0</xdr:rowOff>
    </xdr:to>
    <xdr:sp>
      <xdr:nvSpPr>
        <xdr:cNvPr id="9" name="Arc 9"/>
        <xdr:cNvSpPr>
          <a:spLocks/>
        </xdr:cNvSpPr>
      </xdr:nvSpPr>
      <xdr:spPr>
        <a:xfrm>
          <a:off x="4857750" y="2428875"/>
          <a:ext cx="247650" cy="857250"/>
        </a:xfrm>
        <a:prstGeom prst="arc">
          <a:avLst>
            <a:gd name="adj" fmla="val 2687881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857750" y="2428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304800</xdr:colOff>
      <xdr:row>17</xdr:row>
      <xdr:rowOff>0</xdr:rowOff>
    </xdr:from>
    <xdr:to>
      <xdr:col>14</xdr:col>
      <xdr:colOff>304800</xdr:colOff>
      <xdr:row>17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838700" y="2428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304800</xdr:colOff>
      <xdr:row>22</xdr:row>
      <xdr:rowOff>66675</xdr:rowOff>
    </xdr:from>
    <xdr:to>
      <xdr:col>14</xdr:col>
      <xdr:colOff>304800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838700" y="3209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0" y="3076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0</xdr:rowOff>
    </xdr:from>
    <xdr:to>
      <xdr:col>7</xdr:col>
      <xdr:colOff>0</xdr:colOff>
      <xdr:row>23</xdr:row>
      <xdr:rowOff>0</xdr:rowOff>
    </xdr:to>
    <xdr:sp>
      <xdr:nvSpPr>
        <xdr:cNvPr id="14" name="Arc 14"/>
        <xdr:cNvSpPr>
          <a:spLocks/>
        </xdr:cNvSpPr>
      </xdr:nvSpPr>
      <xdr:spPr>
        <a:xfrm flipH="1">
          <a:off x="2019300" y="2428875"/>
          <a:ext cx="247650" cy="857250"/>
        </a:xfrm>
        <a:prstGeom prst="arc">
          <a:avLst>
            <a:gd name="adj" fmla="val 2687881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18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2266950" y="2428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0</xdr:rowOff>
    </xdr:from>
    <xdr:to>
      <xdr:col>7</xdr:col>
      <xdr:colOff>19050</xdr:colOff>
      <xdr:row>17</xdr:row>
      <xdr:rowOff>85725</xdr:rowOff>
    </xdr:to>
    <xdr:sp>
      <xdr:nvSpPr>
        <xdr:cNvPr id="16" name="Line 16"/>
        <xdr:cNvSpPr>
          <a:spLocks/>
        </xdr:cNvSpPr>
      </xdr:nvSpPr>
      <xdr:spPr>
        <a:xfrm flipH="1">
          <a:off x="2286000" y="2428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66675</xdr:rowOff>
    </xdr:from>
    <xdr:to>
      <xdr:col>7</xdr:col>
      <xdr:colOff>19050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286000" y="3209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95250</xdr:rowOff>
    </xdr:from>
    <xdr:to>
      <xdr:col>7</xdr:col>
      <xdr:colOff>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66950" y="3095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209550</xdr:colOff>
      <xdr:row>23</xdr:row>
      <xdr:rowOff>0</xdr:rowOff>
    </xdr:from>
    <xdr:to>
      <xdr:col>8</xdr:col>
      <xdr:colOff>152400</xdr:colOff>
      <xdr:row>24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2476500" y="3286125"/>
          <a:ext cx="266700" cy="152400"/>
          <a:chOff x="205" y="2640"/>
          <a:chExt cx="28" cy="16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07" y="2655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07" y="265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208" y="264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226" y="2642"/>
            <a:ext cx="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5" y="2642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233" y="2640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H="1" flipV="1">
            <a:off x="205" y="2641"/>
            <a:ext cx="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>
            <a:off x="228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207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217" y="2652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13</xdr:col>
      <xdr:colOff>171450</xdr:colOff>
      <xdr:row>23</xdr:row>
      <xdr:rowOff>0</xdr:rowOff>
    </xdr:from>
    <xdr:to>
      <xdr:col>14</xdr:col>
      <xdr:colOff>114300</xdr:colOff>
      <xdr:row>24</xdr:row>
      <xdr:rowOff>9525</xdr:rowOff>
    </xdr:to>
    <xdr:grpSp>
      <xdr:nvGrpSpPr>
        <xdr:cNvPr id="30" name="Group 30"/>
        <xdr:cNvGrpSpPr>
          <a:grpSpLocks/>
        </xdr:cNvGrpSpPr>
      </xdr:nvGrpSpPr>
      <xdr:grpSpPr>
        <a:xfrm flipH="1">
          <a:off x="4381500" y="3286125"/>
          <a:ext cx="266700" cy="152400"/>
          <a:chOff x="205" y="2640"/>
          <a:chExt cx="28" cy="16"/>
        </a:xfrm>
        <a:solidFill>
          <a:srgbClr val="FFFFFF"/>
        </a:solidFill>
      </xdr:grpSpPr>
      <xdr:sp>
        <xdr:nvSpPr>
          <xdr:cNvPr id="31" name="Line 31"/>
          <xdr:cNvSpPr>
            <a:spLocks/>
          </xdr:cNvSpPr>
        </xdr:nvSpPr>
        <xdr:spPr>
          <a:xfrm>
            <a:off x="207" y="2655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07" y="2653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 flipV="1">
            <a:off x="208" y="264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226" y="2642"/>
            <a:ext cx="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05" y="2642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233" y="2640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 flipV="1">
            <a:off x="205" y="2641"/>
            <a:ext cx="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>
            <a:off x="228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207" y="2653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>
            <a:off x="217" y="2652"/>
            <a:ext cx="0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1" name="Line 41"/>
        <xdr:cNvSpPr>
          <a:spLocks/>
        </xdr:cNvSpPr>
      </xdr:nvSpPr>
      <xdr:spPr>
        <a:xfrm>
          <a:off x="2590800" y="3714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57150</xdr:rowOff>
    </xdr:from>
    <xdr:to>
      <xdr:col>8</xdr:col>
      <xdr:colOff>0</xdr:colOff>
      <xdr:row>26</xdr:row>
      <xdr:rowOff>47625</xdr:rowOff>
    </xdr:to>
    <xdr:sp>
      <xdr:nvSpPr>
        <xdr:cNvPr id="42" name="Line 42"/>
        <xdr:cNvSpPr>
          <a:spLocks/>
        </xdr:cNvSpPr>
      </xdr:nvSpPr>
      <xdr:spPr>
        <a:xfrm>
          <a:off x="2590800" y="3486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57150</xdr:rowOff>
    </xdr:from>
    <xdr:to>
      <xdr:col>14</xdr:col>
      <xdr:colOff>0</xdr:colOff>
      <xdr:row>26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4533900" y="3486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10</xdr:col>
      <xdr:colOff>180975</xdr:colOff>
      <xdr:row>11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428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10</xdr:row>
      <xdr:rowOff>0</xdr:rowOff>
    </xdr:from>
    <xdr:to>
      <xdr:col>24</xdr:col>
      <xdr:colOff>0</xdr:colOff>
      <xdr:row>11</xdr:row>
      <xdr:rowOff>9525</xdr:rowOff>
    </xdr:to>
    <xdr:pic>
      <xdr:nvPicPr>
        <xdr:cNvPr id="2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19</xdr:col>
      <xdr:colOff>0</xdr:colOff>
      <xdr:row>10</xdr:row>
      <xdr:rowOff>9525</xdr:rowOff>
    </xdr:to>
    <xdr:pic>
      <xdr:nvPicPr>
        <xdr:cNvPr id="3" name="ComboBox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1285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10</xdr:row>
      <xdr:rowOff>0</xdr:rowOff>
    </xdr:from>
    <xdr:to>
      <xdr:col>19</xdr:col>
      <xdr:colOff>219075</xdr:colOff>
      <xdr:row>11</xdr:row>
      <xdr:rowOff>9525</xdr:rowOff>
    </xdr:to>
    <xdr:pic>
      <xdr:nvPicPr>
        <xdr:cNvPr id="4" name="ComboBox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42875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28575</xdr:colOff>
      <xdr:row>19</xdr:row>
      <xdr:rowOff>0</xdr:rowOff>
    </xdr:from>
    <xdr:to>
      <xdr:col>15</xdr:col>
      <xdr:colOff>285750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1971675" y="27146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2266950" y="2428875"/>
          <a:ext cx="2590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2266950" y="3000375"/>
          <a:ext cx="2590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24288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247650</xdr:colOff>
      <xdr:row>21</xdr:row>
      <xdr:rowOff>0</xdr:rowOff>
    </xdr:to>
    <xdr:sp>
      <xdr:nvSpPr>
        <xdr:cNvPr id="9" name="Arc 9"/>
        <xdr:cNvSpPr>
          <a:spLocks/>
        </xdr:cNvSpPr>
      </xdr:nvSpPr>
      <xdr:spPr>
        <a:xfrm>
          <a:off x="4857750" y="2428875"/>
          <a:ext cx="247650" cy="571500"/>
        </a:xfrm>
        <a:prstGeom prst="arc">
          <a:avLst>
            <a:gd name="adj" fmla="val 2687881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857750" y="2428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304800</xdr:colOff>
      <xdr:row>17</xdr:row>
      <xdr:rowOff>0</xdr:rowOff>
    </xdr:from>
    <xdr:to>
      <xdr:col>14</xdr:col>
      <xdr:colOff>304800</xdr:colOff>
      <xdr:row>17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838700" y="2428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304800</xdr:colOff>
      <xdr:row>20</xdr:row>
      <xdr:rowOff>38100</xdr:rowOff>
    </xdr:from>
    <xdr:to>
      <xdr:col>14</xdr:col>
      <xdr:colOff>304800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838700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76200</xdr:rowOff>
    </xdr:from>
    <xdr:to>
      <xdr:col>15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0" y="2790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0</xdr:rowOff>
    </xdr:from>
    <xdr:to>
      <xdr:col>7</xdr:col>
      <xdr:colOff>0</xdr:colOff>
      <xdr:row>21</xdr:row>
      <xdr:rowOff>0</xdr:rowOff>
    </xdr:to>
    <xdr:sp>
      <xdr:nvSpPr>
        <xdr:cNvPr id="14" name="Arc 14"/>
        <xdr:cNvSpPr>
          <a:spLocks/>
        </xdr:cNvSpPr>
      </xdr:nvSpPr>
      <xdr:spPr>
        <a:xfrm flipH="1">
          <a:off x="2019300" y="2428875"/>
          <a:ext cx="247650" cy="571500"/>
        </a:xfrm>
        <a:prstGeom prst="arc">
          <a:avLst>
            <a:gd name="adj" fmla="val 2687881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18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2266950" y="2428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0</xdr:rowOff>
    </xdr:from>
    <xdr:to>
      <xdr:col>7</xdr:col>
      <xdr:colOff>19050</xdr:colOff>
      <xdr:row>17</xdr:row>
      <xdr:rowOff>85725</xdr:rowOff>
    </xdr:to>
    <xdr:sp>
      <xdr:nvSpPr>
        <xdr:cNvPr id="16" name="Line 16"/>
        <xdr:cNvSpPr>
          <a:spLocks/>
        </xdr:cNvSpPr>
      </xdr:nvSpPr>
      <xdr:spPr>
        <a:xfrm flipH="1">
          <a:off x="2286000" y="2428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66675</xdr:rowOff>
    </xdr:from>
    <xdr:to>
      <xdr:col>7</xdr:col>
      <xdr:colOff>19050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286000" y="29241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66950" y="2809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9" name="Line 41"/>
        <xdr:cNvSpPr>
          <a:spLocks/>
        </xdr:cNvSpPr>
      </xdr:nvSpPr>
      <xdr:spPr>
        <a:xfrm flipV="1">
          <a:off x="3562350" y="2857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95250</xdr:rowOff>
    </xdr:from>
    <xdr:to>
      <xdr:col>14</xdr:col>
      <xdr:colOff>0</xdr:colOff>
      <xdr:row>20</xdr:row>
      <xdr:rowOff>38100</xdr:rowOff>
    </xdr:to>
    <xdr:sp>
      <xdr:nvSpPr>
        <xdr:cNvPr id="20" name="Line 43"/>
        <xdr:cNvSpPr>
          <a:spLocks/>
        </xdr:cNvSpPr>
      </xdr:nvSpPr>
      <xdr:spPr>
        <a:xfrm>
          <a:off x="4533900" y="28098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14</xdr:col>
      <xdr:colOff>85725</xdr:colOff>
      <xdr:row>26</xdr:row>
      <xdr:rowOff>0</xdr:rowOff>
    </xdr:to>
    <xdr:sp>
      <xdr:nvSpPr>
        <xdr:cNvPr id="21" name="Rectangle 45"/>
        <xdr:cNvSpPr>
          <a:spLocks/>
        </xdr:cNvSpPr>
      </xdr:nvSpPr>
      <xdr:spPr>
        <a:xfrm>
          <a:off x="4457700" y="3000375"/>
          <a:ext cx="161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2" name="Line 46"/>
        <xdr:cNvSpPr>
          <a:spLocks/>
        </xdr:cNvSpPr>
      </xdr:nvSpPr>
      <xdr:spPr>
        <a:xfrm>
          <a:off x="1295400" y="37147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285750</xdr:colOff>
      <xdr:row>20</xdr:row>
      <xdr:rowOff>95250</xdr:rowOff>
    </xdr:from>
    <xdr:to>
      <xdr:col>14</xdr:col>
      <xdr:colOff>47625</xdr:colOff>
      <xdr:row>21</xdr:row>
      <xdr:rowOff>38100</xdr:rowOff>
    </xdr:to>
    <xdr:sp>
      <xdr:nvSpPr>
        <xdr:cNvPr id="23" name="Oval 47"/>
        <xdr:cNvSpPr>
          <a:spLocks/>
        </xdr:cNvSpPr>
      </xdr:nvSpPr>
      <xdr:spPr>
        <a:xfrm>
          <a:off x="4495800" y="2952750"/>
          <a:ext cx="85725" cy="857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285750</xdr:colOff>
      <xdr:row>25</xdr:row>
      <xdr:rowOff>95250</xdr:rowOff>
    </xdr:from>
    <xdr:to>
      <xdr:col>11</xdr:col>
      <xdr:colOff>47625</xdr:colOff>
      <xdr:row>26</xdr:row>
      <xdr:rowOff>38100</xdr:rowOff>
    </xdr:to>
    <xdr:sp>
      <xdr:nvSpPr>
        <xdr:cNvPr id="24" name="Oval 50"/>
        <xdr:cNvSpPr>
          <a:spLocks/>
        </xdr:cNvSpPr>
      </xdr:nvSpPr>
      <xdr:spPr>
        <a:xfrm>
          <a:off x="3524250" y="3667125"/>
          <a:ext cx="85725" cy="857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5" name="Line 51"/>
        <xdr:cNvSpPr>
          <a:spLocks/>
        </xdr:cNvSpPr>
      </xdr:nvSpPr>
      <xdr:spPr>
        <a:xfrm>
          <a:off x="3562350" y="3714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>
      <xdr:nvSpPr>
        <xdr:cNvPr id="26" name="Line 52"/>
        <xdr:cNvSpPr>
          <a:spLocks/>
        </xdr:cNvSpPr>
      </xdr:nvSpPr>
      <xdr:spPr>
        <a:xfrm flipV="1">
          <a:off x="3562350" y="34290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12</xdr:row>
      <xdr:rowOff>0</xdr:rowOff>
    </xdr:from>
    <xdr:to>
      <xdr:col>24</xdr:col>
      <xdr:colOff>0</xdr:colOff>
      <xdr:row>13</xdr:row>
      <xdr:rowOff>9525</xdr:rowOff>
    </xdr:to>
    <xdr:pic>
      <xdr:nvPicPr>
        <xdr:cNvPr id="27" name="ComboBox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7145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11</xdr:row>
      <xdr:rowOff>0</xdr:rowOff>
    </xdr:from>
    <xdr:to>
      <xdr:col>19</xdr:col>
      <xdr:colOff>0</xdr:colOff>
      <xdr:row>12</xdr:row>
      <xdr:rowOff>9525</xdr:rowOff>
    </xdr:to>
    <xdr:pic>
      <xdr:nvPicPr>
        <xdr:cNvPr id="28" name="ComboBox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12</xdr:row>
      <xdr:rowOff>0</xdr:rowOff>
    </xdr:from>
    <xdr:to>
      <xdr:col>19</xdr:col>
      <xdr:colOff>219075</xdr:colOff>
      <xdr:row>13</xdr:row>
      <xdr:rowOff>9525</xdr:rowOff>
    </xdr:to>
    <xdr:pic>
      <xdr:nvPicPr>
        <xdr:cNvPr id="29" name="ComboBox1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05450" y="171450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22</xdr:row>
      <xdr:rowOff>0</xdr:rowOff>
    </xdr:to>
    <xdr:sp>
      <xdr:nvSpPr>
        <xdr:cNvPr id="30" name="Line 56"/>
        <xdr:cNvSpPr>
          <a:spLocks/>
        </xdr:cNvSpPr>
      </xdr:nvSpPr>
      <xdr:spPr>
        <a:xfrm flipV="1">
          <a:off x="4857750" y="3000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26</xdr:row>
      <xdr:rowOff>0</xdr:rowOff>
    </xdr:to>
    <xdr:sp>
      <xdr:nvSpPr>
        <xdr:cNvPr id="31" name="Line 57"/>
        <xdr:cNvSpPr>
          <a:spLocks/>
        </xdr:cNvSpPr>
      </xdr:nvSpPr>
      <xdr:spPr>
        <a:xfrm>
          <a:off x="4857750" y="34290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238125</xdr:colOff>
      <xdr:row>23</xdr:row>
      <xdr:rowOff>0</xdr:rowOff>
    </xdr:to>
    <xdr:sp>
      <xdr:nvSpPr>
        <xdr:cNvPr id="32" name="Line 58"/>
        <xdr:cNvSpPr>
          <a:spLocks/>
        </xdr:cNvSpPr>
      </xdr:nvSpPr>
      <xdr:spPr>
        <a:xfrm>
          <a:off x="1943100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247650</xdr:colOff>
      <xdr:row>21</xdr:row>
      <xdr:rowOff>0</xdr:rowOff>
    </xdr:from>
    <xdr:to>
      <xdr:col>8</xdr:col>
      <xdr:colOff>85725</xdr:colOff>
      <xdr:row>26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2514600" y="3000375"/>
          <a:ext cx="161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10</xdr:col>
      <xdr:colOff>180975</xdr:colOff>
      <xdr:row>11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428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10</xdr:row>
      <xdr:rowOff>0</xdr:rowOff>
    </xdr:from>
    <xdr:to>
      <xdr:col>24</xdr:col>
      <xdr:colOff>0</xdr:colOff>
      <xdr:row>11</xdr:row>
      <xdr:rowOff>9525</xdr:rowOff>
    </xdr:to>
    <xdr:pic>
      <xdr:nvPicPr>
        <xdr:cNvPr id="2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9</xdr:row>
      <xdr:rowOff>0</xdr:rowOff>
    </xdr:from>
    <xdr:to>
      <xdr:col>17</xdr:col>
      <xdr:colOff>0</xdr:colOff>
      <xdr:row>10</xdr:row>
      <xdr:rowOff>9525</xdr:rowOff>
    </xdr:to>
    <xdr:pic>
      <xdr:nvPicPr>
        <xdr:cNvPr id="3" name="ComboBox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1285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10</xdr:row>
      <xdr:rowOff>0</xdr:rowOff>
    </xdr:from>
    <xdr:to>
      <xdr:col>17</xdr:col>
      <xdr:colOff>219075</xdr:colOff>
      <xdr:row>11</xdr:row>
      <xdr:rowOff>9525</xdr:rowOff>
    </xdr:to>
    <xdr:pic>
      <xdr:nvPicPr>
        <xdr:cNvPr id="4" name="ComboBox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42875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" name="Line 41"/>
        <xdr:cNvSpPr>
          <a:spLocks/>
        </xdr:cNvSpPr>
      </xdr:nvSpPr>
      <xdr:spPr>
        <a:xfrm>
          <a:off x="2590800" y="3714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47625</xdr:rowOff>
    </xdr:from>
    <xdr:to>
      <xdr:col>8</xdr:col>
      <xdr:colOff>0</xdr:colOff>
      <xdr:row>26</xdr:row>
      <xdr:rowOff>47625</xdr:rowOff>
    </xdr:to>
    <xdr:sp>
      <xdr:nvSpPr>
        <xdr:cNvPr id="6" name="Line 42"/>
        <xdr:cNvSpPr>
          <a:spLocks/>
        </xdr:cNvSpPr>
      </xdr:nvSpPr>
      <xdr:spPr>
        <a:xfrm>
          <a:off x="2590800" y="3619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57150</xdr:rowOff>
    </xdr:from>
    <xdr:to>
      <xdr:col>14</xdr:col>
      <xdr:colOff>0</xdr:colOff>
      <xdr:row>26</xdr:row>
      <xdr:rowOff>38100</xdr:rowOff>
    </xdr:to>
    <xdr:sp>
      <xdr:nvSpPr>
        <xdr:cNvPr id="7" name="Line 43"/>
        <xdr:cNvSpPr>
          <a:spLocks/>
        </xdr:cNvSpPr>
      </xdr:nvSpPr>
      <xdr:spPr>
        <a:xfrm>
          <a:off x="4533900" y="3629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14</xdr:col>
      <xdr:colOff>38100</xdr:colOff>
      <xdr:row>23</xdr:row>
      <xdr:rowOff>0</xdr:rowOff>
    </xdr:to>
    <xdr:sp>
      <xdr:nvSpPr>
        <xdr:cNvPr id="8" name="Rectangle 44"/>
        <xdr:cNvSpPr>
          <a:spLocks/>
        </xdr:cNvSpPr>
      </xdr:nvSpPr>
      <xdr:spPr>
        <a:xfrm>
          <a:off x="2543175" y="2428875"/>
          <a:ext cx="2028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ECO</a:t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38100</xdr:colOff>
      <xdr:row>25</xdr:row>
      <xdr:rowOff>0</xdr:rowOff>
    </xdr:to>
    <xdr:sp>
      <xdr:nvSpPr>
        <xdr:cNvPr id="9" name="Rectangle 45"/>
        <xdr:cNvSpPr>
          <a:spLocks/>
        </xdr:cNvSpPr>
      </xdr:nvSpPr>
      <xdr:spPr>
        <a:xfrm>
          <a:off x="2543175" y="3286125"/>
          <a:ext cx="85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276225</xdr:colOff>
      <xdr:row>23</xdr:row>
      <xdr:rowOff>0</xdr:rowOff>
    </xdr:from>
    <xdr:to>
      <xdr:col>14</xdr:col>
      <xdr:colOff>38100</xdr:colOff>
      <xdr:row>25</xdr:row>
      <xdr:rowOff>0</xdr:rowOff>
    </xdr:to>
    <xdr:sp>
      <xdr:nvSpPr>
        <xdr:cNvPr id="10" name="Rectangle 46"/>
        <xdr:cNvSpPr>
          <a:spLocks/>
        </xdr:cNvSpPr>
      </xdr:nvSpPr>
      <xdr:spPr>
        <a:xfrm>
          <a:off x="4486275" y="3286125"/>
          <a:ext cx="85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10</xdr:col>
      <xdr:colOff>180975</xdr:colOff>
      <xdr:row>11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428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10</xdr:row>
      <xdr:rowOff>0</xdr:rowOff>
    </xdr:from>
    <xdr:to>
      <xdr:col>24</xdr:col>
      <xdr:colOff>0</xdr:colOff>
      <xdr:row>11</xdr:row>
      <xdr:rowOff>9525</xdr:rowOff>
    </xdr:to>
    <xdr:pic>
      <xdr:nvPicPr>
        <xdr:cNvPr id="2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4287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9</xdr:row>
      <xdr:rowOff>0</xdr:rowOff>
    </xdr:from>
    <xdr:to>
      <xdr:col>17</xdr:col>
      <xdr:colOff>0</xdr:colOff>
      <xdr:row>10</xdr:row>
      <xdr:rowOff>9525</xdr:rowOff>
    </xdr:to>
    <xdr:pic>
      <xdr:nvPicPr>
        <xdr:cNvPr id="3" name="ComboBox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1285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10</xdr:row>
      <xdr:rowOff>0</xdr:rowOff>
    </xdr:from>
    <xdr:to>
      <xdr:col>17</xdr:col>
      <xdr:colOff>219075</xdr:colOff>
      <xdr:row>11</xdr:row>
      <xdr:rowOff>9525</xdr:rowOff>
    </xdr:to>
    <xdr:pic>
      <xdr:nvPicPr>
        <xdr:cNvPr id="4" name="ComboBox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42875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276225</xdr:colOff>
      <xdr:row>17</xdr:row>
      <xdr:rowOff>0</xdr:rowOff>
    </xdr:from>
    <xdr:to>
      <xdr:col>16</xdr:col>
      <xdr:colOff>38100</xdr:colOff>
      <xdr:row>21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247775" y="2428875"/>
          <a:ext cx="39719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WHB</a:t>
          </a:r>
        </a:p>
      </xdr:txBody>
    </xdr:sp>
    <xdr:clientData/>
  </xdr:twoCellAnchor>
  <xdr:twoCellAnchor>
    <xdr:from>
      <xdr:col>3</xdr:col>
      <xdr:colOff>276225</xdr:colOff>
      <xdr:row>21</xdr:row>
      <xdr:rowOff>0</xdr:rowOff>
    </xdr:from>
    <xdr:to>
      <xdr:col>4</xdr:col>
      <xdr:colOff>38100</xdr:colOff>
      <xdr:row>23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1247775" y="3000375"/>
          <a:ext cx="85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0</xdr:rowOff>
    </xdr:from>
    <xdr:to>
      <xdr:col>10</xdr:col>
      <xdr:colOff>38100</xdr:colOff>
      <xdr:row>23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3190875" y="3000375"/>
          <a:ext cx="85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276225</xdr:colOff>
      <xdr:row>21</xdr:row>
      <xdr:rowOff>0</xdr:rowOff>
    </xdr:from>
    <xdr:to>
      <xdr:col>16</xdr:col>
      <xdr:colOff>38100</xdr:colOff>
      <xdr:row>23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5133975" y="3000375"/>
          <a:ext cx="85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57150</xdr:rowOff>
    </xdr:from>
    <xdr:to>
      <xdr:col>4</xdr:col>
      <xdr:colOff>0</xdr:colOff>
      <xdr:row>26</xdr:row>
      <xdr:rowOff>38100</xdr:rowOff>
    </xdr:to>
    <xdr:sp>
      <xdr:nvSpPr>
        <xdr:cNvPr id="9" name="Line 16"/>
        <xdr:cNvSpPr>
          <a:spLocks/>
        </xdr:cNvSpPr>
      </xdr:nvSpPr>
      <xdr:spPr>
        <a:xfrm>
          <a:off x="1295400" y="3343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24</xdr:row>
      <xdr:rowOff>38100</xdr:rowOff>
    </xdr:to>
    <xdr:sp>
      <xdr:nvSpPr>
        <xdr:cNvPr id="10" name="Line 17"/>
        <xdr:cNvSpPr>
          <a:spLocks/>
        </xdr:cNvSpPr>
      </xdr:nvSpPr>
      <xdr:spPr>
        <a:xfrm>
          <a:off x="3238500" y="3390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104775</xdr:rowOff>
    </xdr:from>
    <xdr:to>
      <xdr:col>16</xdr:col>
      <xdr:colOff>0</xdr:colOff>
      <xdr:row>26</xdr:row>
      <xdr:rowOff>47625</xdr:rowOff>
    </xdr:to>
    <xdr:sp>
      <xdr:nvSpPr>
        <xdr:cNvPr id="11" name="Line 18"/>
        <xdr:cNvSpPr>
          <a:spLocks/>
        </xdr:cNvSpPr>
      </xdr:nvSpPr>
      <xdr:spPr>
        <a:xfrm>
          <a:off x="5181600" y="33909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2" name="Line 19"/>
        <xdr:cNvSpPr>
          <a:spLocks/>
        </xdr:cNvSpPr>
      </xdr:nvSpPr>
      <xdr:spPr>
        <a:xfrm>
          <a:off x="1295400" y="34290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13" name="Line 20"/>
        <xdr:cNvSpPr>
          <a:spLocks/>
        </xdr:cNvSpPr>
      </xdr:nvSpPr>
      <xdr:spPr>
        <a:xfrm>
          <a:off x="3238500" y="34290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295400" y="37147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10</xdr:col>
      <xdr:colOff>180975</xdr:colOff>
      <xdr:row>11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428750"/>
          <a:ext cx="504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47625</xdr:colOff>
      <xdr:row>10</xdr:row>
      <xdr:rowOff>66675</xdr:rowOff>
    </xdr:from>
    <xdr:to>
      <xdr:col>25</xdr:col>
      <xdr:colOff>47625</xdr:colOff>
      <xdr:row>11</xdr:row>
      <xdr:rowOff>76200</xdr:rowOff>
    </xdr:to>
    <xdr:pic>
      <xdr:nvPicPr>
        <xdr:cNvPr id="2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4954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9</xdr:row>
      <xdr:rowOff>0</xdr:rowOff>
    </xdr:from>
    <xdr:to>
      <xdr:col>18</xdr:col>
      <xdr:colOff>0</xdr:colOff>
      <xdr:row>10</xdr:row>
      <xdr:rowOff>9525</xdr:rowOff>
    </xdr:to>
    <xdr:pic>
      <xdr:nvPicPr>
        <xdr:cNvPr id="3" name="ComboBox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2858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257175</xdr:colOff>
      <xdr:row>10</xdr:row>
      <xdr:rowOff>57150</xdr:rowOff>
    </xdr:from>
    <xdr:to>
      <xdr:col>20</xdr:col>
      <xdr:colOff>152400</xdr:colOff>
      <xdr:row>11</xdr:row>
      <xdr:rowOff>66675</xdr:rowOff>
    </xdr:to>
    <xdr:pic>
      <xdr:nvPicPr>
        <xdr:cNvPr id="4" name="ComboBox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148590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26</xdr:col>
      <xdr:colOff>276225</xdr:colOff>
      <xdr:row>17</xdr:row>
      <xdr:rowOff>0</xdr:rowOff>
    </xdr:from>
    <xdr:to>
      <xdr:col>33</xdr:col>
      <xdr:colOff>38100</xdr:colOff>
      <xdr:row>21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696325" y="2428875"/>
          <a:ext cx="2028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WHB</a:t>
          </a:r>
        </a:p>
      </xdr:txBody>
    </xdr:sp>
    <xdr:clientData/>
  </xdr:twoCellAnchor>
  <xdr:twoCellAnchor>
    <xdr:from>
      <xdr:col>26</xdr:col>
      <xdr:colOff>276225</xdr:colOff>
      <xdr:row>21</xdr:row>
      <xdr:rowOff>0</xdr:rowOff>
    </xdr:from>
    <xdr:to>
      <xdr:col>27</xdr:col>
      <xdr:colOff>38100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696325" y="3000375"/>
          <a:ext cx="85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276225</xdr:colOff>
      <xdr:row>21</xdr:row>
      <xdr:rowOff>0</xdr:rowOff>
    </xdr:from>
    <xdr:to>
      <xdr:col>33</xdr:col>
      <xdr:colOff>38100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0639425" y="3000375"/>
          <a:ext cx="85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57150</xdr:rowOff>
    </xdr:from>
    <xdr:to>
      <xdr:col>27</xdr:col>
      <xdr:colOff>0</xdr:colOff>
      <xdr:row>26</xdr:row>
      <xdr:rowOff>38100</xdr:rowOff>
    </xdr:to>
    <xdr:sp>
      <xdr:nvSpPr>
        <xdr:cNvPr id="8" name="Line 9"/>
        <xdr:cNvSpPr>
          <a:spLocks/>
        </xdr:cNvSpPr>
      </xdr:nvSpPr>
      <xdr:spPr>
        <a:xfrm>
          <a:off x="8743950" y="3343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104775</xdr:rowOff>
    </xdr:from>
    <xdr:to>
      <xdr:col>33</xdr:col>
      <xdr:colOff>0</xdr:colOff>
      <xdr:row>24</xdr:row>
      <xdr:rowOff>38100</xdr:rowOff>
    </xdr:to>
    <xdr:sp>
      <xdr:nvSpPr>
        <xdr:cNvPr id="9" name="Line 10"/>
        <xdr:cNvSpPr>
          <a:spLocks/>
        </xdr:cNvSpPr>
      </xdr:nvSpPr>
      <xdr:spPr>
        <a:xfrm>
          <a:off x="10687050" y="3390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33</xdr:col>
      <xdr:colOff>0</xdr:colOff>
      <xdr:row>24</xdr:row>
      <xdr:rowOff>0</xdr:rowOff>
    </xdr:to>
    <xdr:sp>
      <xdr:nvSpPr>
        <xdr:cNvPr id="10" name="Line 12"/>
        <xdr:cNvSpPr>
          <a:spLocks/>
        </xdr:cNvSpPr>
      </xdr:nvSpPr>
      <xdr:spPr>
        <a:xfrm>
          <a:off x="8743950" y="34290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180975</xdr:colOff>
      <xdr:row>23</xdr:row>
      <xdr:rowOff>0</xdr:rowOff>
    </xdr:from>
    <xdr:to>
      <xdr:col>6</xdr:col>
      <xdr:colOff>161925</xdr:colOff>
      <xdr:row>24</xdr:row>
      <xdr:rowOff>0</xdr:rowOff>
    </xdr:to>
    <xdr:grpSp>
      <xdr:nvGrpSpPr>
        <xdr:cNvPr id="11" name="Group 23"/>
        <xdr:cNvGrpSpPr>
          <a:grpSpLocks/>
        </xdr:cNvGrpSpPr>
      </xdr:nvGrpSpPr>
      <xdr:grpSpPr>
        <a:xfrm>
          <a:off x="828675" y="3286125"/>
          <a:ext cx="1276350" cy="142875"/>
          <a:chOff x="100" y="345"/>
          <a:chExt cx="106" cy="15"/>
        </a:xfrm>
        <a:solidFill>
          <a:srgbClr val="FFFFFF"/>
        </a:solidFill>
      </xdr:grpSpPr>
      <xdr:sp>
        <xdr:nvSpPr>
          <xdr:cNvPr id="12" name="Line 19"/>
          <xdr:cNvSpPr>
            <a:spLocks/>
          </xdr:cNvSpPr>
        </xdr:nvSpPr>
        <xdr:spPr>
          <a:xfrm>
            <a:off x="102" y="345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>
            <a:off x="102" y="360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AutoShape 21"/>
          <xdr:cNvSpPr>
            <a:spLocks/>
          </xdr:cNvSpPr>
        </xdr:nvSpPr>
        <xdr:spPr>
          <a:xfrm>
            <a:off x="100" y="345"/>
            <a:ext cx="4" cy="15"/>
          </a:xfrm>
          <a:custGeom>
            <a:pathLst>
              <a:path h="15" w="4">
                <a:moveTo>
                  <a:pt x="2" y="0"/>
                </a:moveTo>
                <a:cubicBezTo>
                  <a:pt x="3" y="1"/>
                  <a:pt x="4" y="3"/>
                  <a:pt x="4" y="5"/>
                </a:cubicBezTo>
                <a:cubicBezTo>
                  <a:pt x="4" y="7"/>
                  <a:pt x="0" y="8"/>
                  <a:pt x="0" y="10"/>
                </a:cubicBezTo>
                <a:cubicBezTo>
                  <a:pt x="0" y="12"/>
                  <a:pt x="1" y="13"/>
                  <a:pt x="2" y="1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AutoShape 22"/>
          <xdr:cNvSpPr>
            <a:spLocks/>
          </xdr:cNvSpPr>
        </xdr:nvSpPr>
        <xdr:spPr>
          <a:xfrm>
            <a:off x="202" y="345"/>
            <a:ext cx="4" cy="15"/>
          </a:xfrm>
          <a:custGeom>
            <a:pathLst>
              <a:path h="15" w="4">
                <a:moveTo>
                  <a:pt x="2" y="0"/>
                </a:moveTo>
                <a:cubicBezTo>
                  <a:pt x="3" y="1"/>
                  <a:pt x="4" y="3"/>
                  <a:pt x="4" y="5"/>
                </a:cubicBezTo>
                <a:cubicBezTo>
                  <a:pt x="4" y="7"/>
                  <a:pt x="0" y="8"/>
                  <a:pt x="0" y="10"/>
                </a:cubicBezTo>
                <a:cubicBezTo>
                  <a:pt x="0" y="12"/>
                  <a:pt x="1" y="13"/>
                  <a:pt x="2" y="1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18</xdr:row>
      <xdr:rowOff>0</xdr:rowOff>
    </xdr:from>
    <xdr:to>
      <xdr:col>3</xdr:col>
      <xdr:colOff>247650</xdr:colOff>
      <xdr:row>23</xdr:row>
      <xdr:rowOff>0</xdr:rowOff>
    </xdr:to>
    <xdr:sp>
      <xdr:nvSpPr>
        <xdr:cNvPr id="16" name="Rectangle 24"/>
        <xdr:cNvSpPr>
          <a:spLocks/>
        </xdr:cNvSpPr>
      </xdr:nvSpPr>
      <xdr:spPr>
        <a:xfrm>
          <a:off x="1057275" y="2571750"/>
          <a:ext cx="161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180975</xdr:colOff>
      <xdr:row>17</xdr:row>
      <xdr:rowOff>0</xdr:rowOff>
    </xdr:from>
    <xdr:to>
      <xdr:col>6</xdr:col>
      <xdr:colOff>142875</xdr:colOff>
      <xdr:row>18</xdr:row>
      <xdr:rowOff>0</xdr:rowOff>
    </xdr:to>
    <xdr:grpSp>
      <xdr:nvGrpSpPr>
        <xdr:cNvPr id="17" name="Group 30"/>
        <xdr:cNvGrpSpPr>
          <a:grpSpLocks/>
        </xdr:cNvGrpSpPr>
      </xdr:nvGrpSpPr>
      <xdr:grpSpPr>
        <a:xfrm>
          <a:off x="828675" y="2428875"/>
          <a:ext cx="1257300" cy="142875"/>
          <a:chOff x="100" y="345"/>
          <a:chExt cx="106" cy="15"/>
        </a:xfrm>
        <a:solidFill>
          <a:srgbClr val="FFFFFF"/>
        </a:solidFill>
      </xdr:grpSpPr>
      <xdr:sp>
        <xdr:nvSpPr>
          <xdr:cNvPr id="18" name="Line 31"/>
          <xdr:cNvSpPr>
            <a:spLocks/>
          </xdr:cNvSpPr>
        </xdr:nvSpPr>
        <xdr:spPr>
          <a:xfrm>
            <a:off x="102" y="345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32"/>
          <xdr:cNvSpPr>
            <a:spLocks/>
          </xdr:cNvSpPr>
        </xdr:nvSpPr>
        <xdr:spPr>
          <a:xfrm>
            <a:off x="102" y="360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AutoShape 33"/>
          <xdr:cNvSpPr>
            <a:spLocks/>
          </xdr:cNvSpPr>
        </xdr:nvSpPr>
        <xdr:spPr>
          <a:xfrm>
            <a:off x="100" y="345"/>
            <a:ext cx="4" cy="15"/>
          </a:xfrm>
          <a:custGeom>
            <a:pathLst>
              <a:path h="15" w="4">
                <a:moveTo>
                  <a:pt x="2" y="0"/>
                </a:moveTo>
                <a:cubicBezTo>
                  <a:pt x="3" y="1"/>
                  <a:pt x="4" y="3"/>
                  <a:pt x="4" y="5"/>
                </a:cubicBezTo>
                <a:cubicBezTo>
                  <a:pt x="4" y="7"/>
                  <a:pt x="0" y="8"/>
                  <a:pt x="0" y="10"/>
                </a:cubicBezTo>
                <a:cubicBezTo>
                  <a:pt x="0" y="12"/>
                  <a:pt x="1" y="13"/>
                  <a:pt x="2" y="1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AutoShape 34"/>
          <xdr:cNvSpPr>
            <a:spLocks/>
          </xdr:cNvSpPr>
        </xdr:nvSpPr>
        <xdr:spPr>
          <a:xfrm>
            <a:off x="202" y="345"/>
            <a:ext cx="4" cy="15"/>
          </a:xfrm>
          <a:custGeom>
            <a:pathLst>
              <a:path h="15" w="4">
                <a:moveTo>
                  <a:pt x="2" y="0"/>
                </a:moveTo>
                <a:cubicBezTo>
                  <a:pt x="3" y="1"/>
                  <a:pt x="4" y="3"/>
                  <a:pt x="4" y="5"/>
                </a:cubicBezTo>
                <a:cubicBezTo>
                  <a:pt x="4" y="7"/>
                  <a:pt x="0" y="8"/>
                  <a:pt x="0" y="10"/>
                </a:cubicBezTo>
                <a:cubicBezTo>
                  <a:pt x="0" y="12"/>
                  <a:pt x="1" y="13"/>
                  <a:pt x="2" y="1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23</xdr:row>
      <xdr:rowOff>0</xdr:rowOff>
    </xdr:to>
    <xdr:sp>
      <xdr:nvSpPr>
        <xdr:cNvPr id="22" name="Rectangle 35"/>
        <xdr:cNvSpPr>
          <a:spLocks/>
        </xdr:cNvSpPr>
      </xdr:nvSpPr>
      <xdr:spPr>
        <a:xfrm>
          <a:off x="971550" y="2571750"/>
          <a:ext cx="76200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247650</xdr:colOff>
      <xdr:row>18</xdr:row>
      <xdr:rowOff>0</xdr:rowOff>
    </xdr:from>
    <xdr:to>
      <xdr:col>4</xdr:col>
      <xdr:colOff>0</xdr:colOff>
      <xdr:row>23</xdr:row>
      <xdr:rowOff>0</xdr:rowOff>
    </xdr:to>
    <xdr:sp>
      <xdr:nvSpPr>
        <xdr:cNvPr id="23" name="Rectangle 36"/>
        <xdr:cNvSpPr>
          <a:spLocks/>
        </xdr:cNvSpPr>
      </xdr:nvSpPr>
      <xdr:spPr>
        <a:xfrm>
          <a:off x="1219200" y="2571750"/>
          <a:ext cx="76200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0</xdr:rowOff>
    </xdr:from>
    <xdr:to>
      <xdr:col>4</xdr:col>
      <xdr:colOff>247650</xdr:colOff>
      <xdr:row>23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1381125" y="2571750"/>
          <a:ext cx="161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23</xdr:row>
      <xdr:rowOff>0</xdr:rowOff>
    </xdr:to>
    <xdr:sp>
      <xdr:nvSpPr>
        <xdr:cNvPr id="25" name="Rectangle 38"/>
        <xdr:cNvSpPr>
          <a:spLocks/>
        </xdr:cNvSpPr>
      </xdr:nvSpPr>
      <xdr:spPr>
        <a:xfrm>
          <a:off x="1295400" y="2571750"/>
          <a:ext cx="76200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247650</xdr:colOff>
      <xdr:row>18</xdr:row>
      <xdr:rowOff>0</xdr:rowOff>
    </xdr:from>
    <xdr:to>
      <xdr:col>5</xdr:col>
      <xdr:colOff>0</xdr:colOff>
      <xdr:row>23</xdr:row>
      <xdr:rowOff>0</xdr:rowOff>
    </xdr:to>
    <xdr:sp>
      <xdr:nvSpPr>
        <xdr:cNvPr id="26" name="Rectangle 39"/>
        <xdr:cNvSpPr>
          <a:spLocks/>
        </xdr:cNvSpPr>
      </xdr:nvSpPr>
      <xdr:spPr>
        <a:xfrm>
          <a:off x="1543050" y="2571750"/>
          <a:ext cx="76200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0</xdr:rowOff>
    </xdr:from>
    <xdr:to>
      <xdr:col>5</xdr:col>
      <xdr:colOff>247650</xdr:colOff>
      <xdr:row>23</xdr:row>
      <xdr:rowOff>0</xdr:rowOff>
    </xdr:to>
    <xdr:sp>
      <xdr:nvSpPr>
        <xdr:cNvPr id="27" name="Rectangle 40"/>
        <xdr:cNvSpPr>
          <a:spLocks/>
        </xdr:cNvSpPr>
      </xdr:nvSpPr>
      <xdr:spPr>
        <a:xfrm>
          <a:off x="1704975" y="2571750"/>
          <a:ext cx="161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23</xdr:row>
      <xdr:rowOff>0</xdr:rowOff>
    </xdr:to>
    <xdr:sp>
      <xdr:nvSpPr>
        <xdr:cNvPr id="28" name="Rectangle 41"/>
        <xdr:cNvSpPr>
          <a:spLocks/>
        </xdr:cNvSpPr>
      </xdr:nvSpPr>
      <xdr:spPr>
        <a:xfrm>
          <a:off x="1619250" y="2571750"/>
          <a:ext cx="76200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247650</xdr:colOff>
      <xdr:row>18</xdr:row>
      <xdr:rowOff>0</xdr:rowOff>
    </xdr:from>
    <xdr:to>
      <xdr:col>6</xdr:col>
      <xdr:colOff>0</xdr:colOff>
      <xdr:row>23</xdr:row>
      <xdr:rowOff>0</xdr:rowOff>
    </xdr:to>
    <xdr:sp>
      <xdr:nvSpPr>
        <xdr:cNvPr id="29" name="Rectangle 42"/>
        <xdr:cNvSpPr>
          <a:spLocks/>
        </xdr:cNvSpPr>
      </xdr:nvSpPr>
      <xdr:spPr>
        <a:xfrm>
          <a:off x="1866900" y="2571750"/>
          <a:ext cx="76200" cy="714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104775</xdr:colOff>
      <xdr:row>18</xdr:row>
      <xdr:rowOff>66675</xdr:rowOff>
    </xdr:from>
    <xdr:to>
      <xdr:col>11</xdr:col>
      <xdr:colOff>238125</xdr:colOff>
      <xdr:row>21</xdr:row>
      <xdr:rowOff>95250</xdr:rowOff>
    </xdr:to>
    <xdr:sp>
      <xdr:nvSpPr>
        <xdr:cNvPr id="30" name="Oval 43"/>
        <xdr:cNvSpPr>
          <a:spLocks/>
        </xdr:cNvSpPr>
      </xdr:nvSpPr>
      <xdr:spPr>
        <a:xfrm>
          <a:off x="3343275" y="2638425"/>
          <a:ext cx="457200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104775</xdr:rowOff>
    </xdr:from>
    <xdr:to>
      <xdr:col>12</xdr:col>
      <xdr:colOff>0</xdr:colOff>
      <xdr:row>22</xdr:row>
      <xdr:rowOff>38100</xdr:rowOff>
    </xdr:to>
    <xdr:sp>
      <xdr:nvSpPr>
        <xdr:cNvPr id="31" name="Oval 45"/>
        <xdr:cNvSpPr>
          <a:spLocks/>
        </xdr:cNvSpPr>
      </xdr:nvSpPr>
      <xdr:spPr>
        <a:xfrm>
          <a:off x="3248025" y="2533650"/>
          <a:ext cx="6381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0</xdr:colOff>
      <xdr:row>20</xdr:row>
      <xdr:rowOff>19050</xdr:rowOff>
    </xdr:to>
    <xdr:sp>
      <xdr:nvSpPr>
        <xdr:cNvPr id="32" name="Rectangle 47"/>
        <xdr:cNvSpPr>
          <a:spLocks/>
        </xdr:cNvSpPr>
      </xdr:nvSpPr>
      <xdr:spPr>
        <a:xfrm flipV="1">
          <a:off x="3886200" y="2828925"/>
          <a:ext cx="323850" cy="47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20</xdr:row>
      <xdr:rowOff>19050</xdr:rowOff>
    </xdr:to>
    <xdr:sp>
      <xdr:nvSpPr>
        <xdr:cNvPr id="33" name="Rectangle 48"/>
        <xdr:cNvSpPr>
          <a:spLocks/>
        </xdr:cNvSpPr>
      </xdr:nvSpPr>
      <xdr:spPr>
        <a:xfrm flipV="1">
          <a:off x="2914650" y="2828925"/>
          <a:ext cx="323850" cy="47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66675</xdr:rowOff>
    </xdr:from>
    <xdr:to>
      <xdr:col>9</xdr:col>
      <xdr:colOff>0</xdr:colOff>
      <xdr:row>26</xdr:row>
      <xdr:rowOff>38100</xdr:rowOff>
    </xdr:to>
    <xdr:sp>
      <xdr:nvSpPr>
        <xdr:cNvPr id="34" name="Line 69"/>
        <xdr:cNvSpPr>
          <a:spLocks/>
        </xdr:cNvSpPr>
      </xdr:nvSpPr>
      <xdr:spPr>
        <a:xfrm>
          <a:off x="2914650" y="29241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26</xdr:row>
      <xdr:rowOff>47625</xdr:rowOff>
    </xdr:to>
    <xdr:sp>
      <xdr:nvSpPr>
        <xdr:cNvPr id="35" name="Line 70"/>
        <xdr:cNvSpPr>
          <a:spLocks/>
        </xdr:cNvSpPr>
      </xdr:nvSpPr>
      <xdr:spPr>
        <a:xfrm>
          <a:off x="3238500" y="30003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26</xdr:row>
      <xdr:rowOff>47625</xdr:rowOff>
    </xdr:to>
    <xdr:sp>
      <xdr:nvSpPr>
        <xdr:cNvPr id="36" name="Line 71"/>
        <xdr:cNvSpPr>
          <a:spLocks/>
        </xdr:cNvSpPr>
      </xdr:nvSpPr>
      <xdr:spPr>
        <a:xfrm>
          <a:off x="3886200" y="30003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66675</xdr:rowOff>
    </xdr:from>
    <xdr:to>
      <xdr:col>13</xdr:col>
      <xdr:colOff>0</xdr:colOff>
      <xdr:row>26</xdr:row>
      <xdr:rowOff>47625</xdr:rowOff>
    </xdr:to>
    <xdr:sp>
      <xdr:nvSpPr>
        <xdr:cNvPr id="37" name="Line 72"/>
        <xdr:cNvSpPr>
          <a:spLocks/>
        </xdr:cNvSpPr>
      </xdr:nvSpPr>
      <xdr:spPr>
        <a:xfrm>
          <a:off x="4210050" y="29241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104775</xdr:colOff>
      <xdr:row>21</xdr:row>
      <xdr:rowOff>9525</xdr:rowOff>
    </xdr:from>
    <xdr:to>
      <xdr:col>10</xdr:col>
      <xdr:colOff>104775</xdr:colOff>
      <xdr:row>25</xdr:row>
      <xdr:rowOff>47625</xdr:rowOff>
    </xdr:to>
    <xdr:sp>
      <xdr:nvSpPr>
        <xdr:cNvPr id="38" name="Line 77"/>
        <xdr:cNvSpPr>
          <a:spLocks/>
        </xdr:cNvSpPr>
      </xdr:nvSpPr>
      <xdr:spPr>
        <a:xfrm>
          <a:off x="3343275" y="30099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238125</xdr:colOff>
      <xdr:row>21</xdr:row>
      <xdr:rowOff>0</xdr:rowOff>
    </xdr:from>
    <xdr:to>
      <xdr:col>11</xdr:col>
      <xdr:colOff>238125</xdr:colOff>
      <xdr:row>25</xdr:row>
      <xdr:rowOff>57150</xdr:rowOff>
    </xdr:to>
    <xdr:sp>
      <xdr:nvSpPr>
        <xdr:cNvPr id="39" name="Line 78"/>
        <xdr:cNvSpPr>
          <a:spLocks/>
        </xdr:cNvSpPr>
      </xdr:nvSpPr>
      <xdr:spPr>
        <a:xfrm>
          <a:off x="3800475" y="3000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104775</xdr:colOff>
      <xdr:row>25</xdr:row>
      <xdr:rowOff>0</xdr:rowOff>
    </xdr:from>
    <xdr:to>
      <xdr:col>11</xdr:col>
      <xdr:colOff>238125</xdr:colOff>
      <xdr:row>25</xdr:row>
      <xdr:rowOff>0</xdr:rowOff>
    </xdr:to>
    <xdr:sp>
      <xdr:nvSpPr>
        <xdr:cNvPr id="40" name="Line 82"/>
        <xdr:cNvSpPr>
          <a:spLocks/>
        </xdr:cNvSpPr>
      </xdr:nvSpPr>
      <xdr:spPr>
        <a:xfrm>
          <a:off x="3343275" y="3571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41" name="Line 83"/>
        <xdr:cNvSpPr>
          <a:spLocks/>
        </xdr:cNvSpPr>
      </xdr:nvSpPr>
      <xdr:spPr>
        <a:xfrm>
          <a:off x="3238500" y="3714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42" name="Line 84"/>
        <xdr:cNvSpPr>
          <a:spLocks/>
        </xdr:cNvSpPr>
      </xdr:nvSpPr>
      <xdr:spPr>
        <a:xfrm>
          <a:off x="29146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3" name="Line 85"/>
        <xdr:cNvSpPr>
          <a:spLocks/>
        </xdr:cNvSpPr>
      </xdr:nvSpPr>
      <xdr:spPr>
        <a:xfrm>
          <a:off x="388620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209550</xdr:colOff>
      <xdr:row>25</xdr:row>
      <xdr:rowOff>0</xdr:rowOff>
    </xdr:to>
    <xdr:sp>
      <xdr:nvSpPr>
        <xdr:cNvPr id="44" name="Line 86"/>
        <xdr:cNvSpPr>
          <a:spLocks/>
        </xdr:cNvSpPr>
      </xdr:nvSpPr>
      <xdr:spPr>
        <a:xfrm flipH="1">
          <a:off x="3886200" y="3571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5" name="Line 87"/>
        <xdr:cNvSpPr>
          <a:spLocks/>
        </xdr:cNvSpPr>
      </xdr:nvSpPr>
      <xdr:spPr>
        <a:xfrm>
          <a:off x="3000375" y="3571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0</xdr:rowOff>
    </xdr:from>
    <xdr:to>
      <xdr:col>10</xdr:col>
      <xdr:colOff>104775</xdr:colOff>
      <xdr:row>25</xdr:row>
      <xdr:rowOff>0</xdr:rowOff>
    </xdr:to>
    <xdr:sp>
      <xdr:nvSpPr>
        <xdr:cNvPr id="46" name="Line 88"/>
        <xdr:cNvSpPr>
          <a:spLocks/>
        </xdr:cNvSpPr>
      </xdr:nvSpPr>
      <xdr:spPr>
        <a:xfrm>
          <a:off x="3228975" y="3571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238125</xdr:colOff>
      <xdr:row>25</xdr:row>
      <xdr:rowOff>0</xdr:rowOff>
    </xdr:from>
    <xdr:to>
      <xdr:col>12</xdr:col>
      <xdr:colOff>9525</xdr:colOff>
      <xdr:row>25</xdr:row>
      <xdr:rowOff>0</xdr:rowOff>
    </xdr:to>
    <xdr:sp>
      <xdr:nvSpPr>
        <xdr:cNvPr id="47" name="Line 89"/>
        <xdr:cNvSpPr>
          <a:spLocks/>
        </xdr:cNvSpPr>
      </xdr:nvSpPr>
      <xdr:spPr>
        <a:xfrm flipH="1">
          <a:off x="3800475" y="3571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17</xdr:col>
      <xdr:colOff>257175</xdr:colOff>
      <xdr:row>11</xdr:row>
      <xdr:rowOff>57150</xdr:rowOff>
    </xdr:from>
    <xdr:to>
      <xdr:col>20</xdr:col>
      <xdr:colOff>152400</xdr:colOff>
      <xdr:row>12</xdr:row>
      <xdr:rowOff>66675</xdr:rowOff>
    </xdr:to>
    <xdr:pic>
      <xdr:nvPicPr>
        <xdr:cNvPr id="48" name="ComboBox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1628775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47625</xdr:colOff>
      <xdr:row>11</xdr:row>
      <xdr:rowOff>66675</xdr:rowOff>
    </xdr:from>
    <xdr:to>
      <xdr:col>25</xdr:col>
      <xdr:colOff>47625</xdr:colOff>
      <xdr:row>12</xdr:row>
      <xdr:rowOff>76200</xdr:rowOff>
    </xdr:to>
    <xdr:pic>
      <xdr:nvPicPr>
        <xdr:cNvPr id="49" name="ComboBox1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16383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26</xdr:row>
      <xdr:rowOff>47625</xdr:rowOff>
    </xdr:to>
    <xdr:sp>
      <xdr:nvSpPr>
        <xdr:cNvPr id="50" name="Line 92"/>
        <xdr:cNvSpPr>
          <a:spLocks/>
        </xdr:cNvSpPr>
      </xdr:nvSpPr>
      <xdr:spPr>
        <a:xfrm>
          <a:off x="1619250" y="3333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47625</xdr:rowOff>
    </xdr:from>
    <xdr:to>
      <xdr:col>4</xdr:col>
      <xdr:colOff>0</xdr:colOff>
      <xdr:row>26</xdr:row>
      <xdr:rowOff>38100</xdr:rowOff>
    </xdr:to>
    <xdr:sp>
      <xdr:nvSpPr>
        <xdr:cNvPr id="51" name="Line 93"/>
        <xdr:cNvSpPr>
          <a:spLocks/>
        </xdr:cNvSpPr>
      </xdr:nvSpPr>
      <xdr:spPr>
        <a:xfrm>
          <a:off x="1295400" y="3333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2" name="Line 94"/>
        <xdr:cNvSpPr>
          <a:spLocks/>
        </xdr:cNvSpPr>
      </xdr:nvSpPr>
      <xdr:spPr>
        <a:xfrm>
          <a:off x="129540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3" name="Line 95"/>
        <xdr:cNvSpPr>
          <a:spLocks/>
        </xdr:cNvSpPr>
      </xdr:nvSpPr>
      <xdr:spPr>
        <a:xfrm flipH="1">
          <a:off x="1943100" y="2857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152400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4" name="Line 96"/>
        <xdr:cNvSpPr>
          <a:spLocks/>
        </xdr:cNvSpPr>
      </xdr:nvSpPr>
      <xdr:spPr>
        <a:xfrm flipH="1">
          <a:off x="1771650" y="31432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47625</xdr:rowOff>
    </xdr:from>
    <xdr:to>
      <xdr:col>3</xdr:col>
      <xdr:colOff>0</xdr:colOff>
      <xdr:row>26</xdr:row>
      <xdr:rowOff>38100</xdr:rowOff>
    </xdr:to>
    <xdr:sp>
      <xdr:nvSpPr>
        <xdr:cNvPr id="55" name="Line 97"/>
        <xdr:cNvSpPr>
          <a:spLocks/>
        </xdr:cNvSpPr>
      </xdr:nvSpPr>
      <xdr:spPr>
        <a:xfrm>
          <a:off x="971550" y="3333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57150</xdr:rowOff>
    </xdr:from>
    <xdr:to>
      <xdr:col>6</xdr:col>
      <xdr:colOff>0</xdr:colOff>
      <xdr:row>26</xdr:row>
      <xdr:rowOff>47625</xdr:rowOff>
    </xdr:to>
    <xdr:sp>
      <xdr:nvSpPr>
        <xdr:cNvPr id="56" name="Line 98"/>
        <xdr:cNvSpPr>
          <a:spLocks/>
        </xdr:cNvSpPr>
      </xdr:nvSpPr>
      <xdr:spPr>
        <a:xfrm>
          <a:off x="1943100" y="3343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57" name="Line 99"/>
        <xdr:cNvSpPr>
          <a:spLocks/>
        </xdr:cNvSpPr>
      </xdr:nvSpPr>
      <xdr:spPr>
        <a:xfrm>
          <a:off x="9715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8" name="Line 100"/>
        <xdr:cNvSpPr>
          <a:spLocks/>
        </xdr:cNvSpPr>
      </xdr:nvSpPr>
      <xdr:spPr>
        <a:xfrm>
          <a:off x="16192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104775</xdr:colOff>
      <xdr:row>18</xdr:row>
      <xdr:rowOff>66675</xdr:rowOff>
    </xdr:from>
    <xdr:to>
      <xdr:col>17</xdr:col>
      <xdr:colOff>238125</xdr:colOff>
      <xdr:row>21</xdr:row>
      <xdr:rowOff>95250</xdr:rowOff>
    </xdr:to>
    <xdr:sp>
      <xdr:nvSpPr>
        <xdr:cNvPr id="59" name="Oval 101"/>
        <xdr:cNvSpPr>
          <a:spLocks/>
        </xdr:cNvSpPr>
      </xdr:nvSpPr>
      <xdr:spPr>
        <a:xfrm>
          <a:off x="5286375" y="2638425"/>
          <a:ext cx="457200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104775</xdr:rowOff>
    </xdr:from>
    <xdr:to>
      <xdr:col>18</xdr:col>
      <xdr:colOff>0</xdr:colOff>
      <xdr:row>22</xdr:row>
      <xdr:rowOff>38100</xdr:rowOff>
    </xdr:to>
    <xdr:sp>
      <xdr:nvSpPr>
        <xdr:cNvPr id="60" name="Oval 102"/>
        <xdr:cNvSpPr>
          <a:spLocks/>
        </xdr:cNvSpPr>
      </xdr:nvSpPr>
      <xdr:spPr>
        <a:xfrm>
          <a:off x="5191125" y="2533650"/>
          <a:ext cx="6381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114300</xdr:rowOff>
    </xdr:from>
    <xdr:to>
      <xdr:col>19</xdr:col>
      <xdr:colOff>0</xdr:colOff>
      <xdr:row>20</xdr:row>
      <xdr:rowOff>19050</xdr:rowOff>
    </xdr:to>
    <xdr:sp>
      <xdr:nvSpPr>
        <xdr:cNvPr id="61" name="Rectangle 103"/>
        <xdr:cNvSpPr>
          <a:spLocks/>
        </xdr:cNvSpPr>
      </xdr:nvSpPr>
      <xdr:spPr>
        <a:xfrm flipV="1">
          <a:off x="5829300" y="2828925"/>
          <a:ext cx="323850" cy="47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16</xdr:col>
      <xdr:colOff>0</xdr:colOff>
      <xdr:row>20</xdr:row>
      <xdr:rowOff>19050</xdr:rowOff>
    </xdr:to>
    <xdr:sp>
      <xdr:nvSpPr>
        <xdr:cNvPr id="62" name="Rectangle 104"/>
        <xdr:cNvSpPr>
          <a:spLocks/>
        </xdr:cNvSpPr>
      </xdr:nvSpPr>
      <xdr:spPr>
        <a:xfrm flipV="1">
          <a:off x="4857750" y="2828925"/>
          <a:ext cx="323850" cy="47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66675</xdr:rowOff>
    </xdr:from>
    <xdr:to>
      <xdr:col>15</xdr:col>
      <xdr:colOff>0</xdr:colOff>
      <xdr:row>26</xdr:row>
      <xdr:rowOff>38100</xdr:rowOff>
    </xdr:to>
    <xdr:sp>
      <xdr:nvSpPr>
        <xdr:cNvPr id="63" name="Line 105"/>
        <xdr:cNvSpPr>
          <a:spLocks/>
        </xdr:cNvSpPr>
      </xdr:nvSpPr>
      <xdr:spPr>
        <a:xfrm>
          <a:off x="4857750" y="29241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26</xdr:row>
      <xdr:rowOff>47625</xdr:rowOff>
    </xdr:to>
    <xdr:sp>
      <xdr:nvSpPr>
        <xdr:cNvPr id="64" name="Line 106"/>
        <xdr:cNvSpPr>
          <a:spLocks/>
        </xdr:cNvSpPr>
      </xdr:nvSpPr>
      <xdr:spPr>
        <a:xfrm>
          <a:off x="5181600" y="30003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0</xdr:colOff>
      <xdr:row>26</xdr:row>
      <xdr:rowOff>47625</xdr:rowOff>
    </xdr:to>
    <xdr:sp>
      <xdr:nvSpPr>
        <xdr:cNvPr id="65" name="Line 107"/>
        <xdr:cNvSpPr>
          <a:spLocks/>
        </xdr:cNvSpPr>
      </xdr:nvSpPr>
      <xdr:spPr>
        <a:xfrm>
          <a:off x="5829300" y="30003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66675</xdr:rowOff>
    </xdr:from>
    <xdr:to>
      <xdr:col>19</xdr:col>
      <xdr:colOff>0</xdr:colOff>
      <xdr:row>26</xdr:row>
      <xdr:rowOff>47625</xdr:rowOff>
    </xdr:to>
    <xdr:sp>
      <xdr:nvSpPr>
        <xdr:cNvPr id="66" name="Line 108"/>
        <xdr:cNvSpPr>
          <a:spLocks/>
        </xdr:cNvSpPr>
      </xdr:nvSpPr>
      <xdr:spPr>
        <a:xfrm>
          <a:off x="6153150" y="29241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104775</xdr:colOff>
      <xdr:row>21</xdr:row>
      <xdr:rowOff>9525</xdr:rowOff>
    </xdr:from>
    <xdr:to>
      <xdr:col>16</xdr:col>
      <xdr:colOff>104775</xdr:colOff>
      <xdr:row>25</xdr:row>
      <xdr:rowOff>47625</xdr:rowOff>
    </xdr:to>
    <xdr:sp>
      <xdr:nvSpPr>
        <xdr:cNvPr id="67" name="Line 109"/>
        <xdr:cNvSpPr>
          <a:spLocks/>
        </xdr:cNvSpPr>
      </xdr:nvSpPr>
      <xdr:spPr>
        <a:xfrm>
          <a:off x="5286375" y="30099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238125</xdr:colOff>
      <xdr:row>21</xdr:row>
      <xdr:rowOff>0</xdr:rowOff>
    </xdr:from>
    <xdr:to>
      <xdr:col>17</xdr:col>
      <xdr:colOff>238125</xdr:colOff>
      <xdr:row>25</xdr:row>
      <xdr:rowOff>57150</xdr:rowOff>
    </xdr:to>
    <xdr:sp>
      <xdr:nvSpPr>
        <xdr:cNvPr id="68" name="Line 110"/>
        <xdr:cNvSpPr>
          <a:spLocks/>
        </xdr:cNvSpPr>
      </xdr:nvSpPr>
      <xdr:spPr>
        <a:xfrm>
          <a:off x="5743575" y="3000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17</xdr:col>
      <xdr:colOff>238125</xdr:colOff>
      <xdr:row>25</xdr:row>
      <xdr:rowOff>0</xdr:rowOff>
    </xdr:to>
    <xdr:sp>
      <xdr:nvSpPr>
        <xdr:cNvPr id="69" name="Line 111"/>
        <xdr:cNvSpPr>
          <a:spLocks/>
        </xdr:cNvSpPr>
      </xdr:nvSpPr>
      <xdr:spPr>
        <a:xfrm>
          <a:off x="5286375" y="3571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70" name="Line 112"/>
        <xdr:cNvSpPr>
          <a:spLocks/>
        </xdr:cNvSpPr>
      </xdr:nvSpPr>
      <xdr:spPr>
        <a:xfrm>
          <a:off x="5181600" y="3714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71" name="Line 113"/>
        <xdr:cNvSpPr>
          <a:spLocks/>
        </xdr:cNvSpPr>
      </xdr:nvSpPr>
      <xdr:spPr>
        <a:xfrm>
          <a:off x="485775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72" name="Line 114"/>
        <xdr:cNvSpPr>
          <a:spLocks/>
        </xdr:cNvSpPr>
      </xdr:nvSpPr>
      <xdr:spPr>
        <a:xfrm>
          <a:off x="5829300" y="3714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209550</xdr:colOff>
      <xdr:row>25</xdr:row>
      <xdr:rowOff>0</xdr:rowOff>
    </xdr:to>
    <xdr:sp>
      <xdr:nvSpPr>
        <xdr:cNvPr id="73" name="Line 115"/>
        <xdr:cNvSpPr>
          <a:spLocks/>
        </xdr:cNvSpPr>
      </xdr:nvSpPr>
      <xdr:spPr>
        <a:xfrm flipH="1">
          <a:off x="5829300" y="3571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85725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74" name="Line 116"/>
        <xdr:cNvSpPr>
          <a:spLocks/>
        </xdr:cNvSpPr>
      </xdr:nvSpPr>
      <xdr:spPr>
        <a:xfrm>
          <a:off x="4943475" y="3571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314325</xdr:colOff>
      <xdr:row>25</xdr:row>
      <xdr:rowOff>0</xdr:rowOff>
    </xdr:from>
    <xdr:to>
      <xdr:col>16</xdr:col>
      <xdr:colOff>104775</xdr:colOff>
      <xdr:row>25</xdr:row>
      <xdr:rowOff>0</xdr:rowOff>
    </xdr:to>
    <xdr:sp>
      <xdr:nvSpPr>
        <xdr:cNvPr id="75" name="Line 117"/>
        <xdr:cNvSpPr>
          <a:spLocks/>
        </xdr:cNvSpPr>
      </xdr:nvSpPr>
      <xdr:spPr>
        <a:xfrm>
          <a:off x="5172075" y="3571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238125</xdr:colOff>
      <xdr:row>25</xdr:row>
      <xdr:rowOff>0</xdr:rowOff>
    </xdr:from>
    <xdr:to>
      <xdr:col>18</xdr:col>
      <xdr:colOff>9525</xdr:colOff>
      <xdr:row>25</xdr:row>
      <xdr:rowOff>0</xdr:rowOff>
    </xdr:to>
    <xdr:sp>
      <xdr:nvSpPr>
        <xdr:cNvPr id="76" name="Line 118"/>
        <xdr:cNvSpPr>
          <a:spLocks/>
        </xdr:cNvSpPr>
      </xdr:nvSpPr>
      <xdr:spPr>
        <a:xfrm flipH="1">
          <a:off x="5743575" y="3571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104775</xdr:rowOff>
    </xdr:from>
    <xdr:to>
      <xdr:col>10</xdr:col>
      <xdr:colOff>66675</xdr:colOff>
      <xdr:row>20</xdr:row>
      <xdr:rowOff>0</xdr:rowOff>
    </xdr:to>
    <xdr:sp>
      <xdr:nvSpPr>
        <xdr:cNvPr id="77" name="Line 120"/>
        <xdr:cNvSpPr>
          <a:spLocks/>
        </xdr:cNvSpPr>
      </xdr:nvSpPr>
      <xdr:spPr>
        <a:xfrm flipV="1">
          <a:off x="3305175" y="2390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104775</xdr:rowOff>
    </xdr:from>
    <xdr:to>
      <xdr:col>11</xdr:col>
      <xdr:colOff>276225</xdr:colOff>
      <xdr:row>20</xdr:row>
      <xdr:rowOff>0</xdr:rowOff>
    </xdr:to>
    <xdr:sp>
      <xdr:nvSpPr>
        <xdr:cNvPr id="78" name="Line 121"/>
        <xdr:cNvSpPr>
          <a:spLocks/>
        </xdr:cNvSpPr>
      </xdr:nvSpPr>
      <xdr:spPr>
        <a:xfrm flipV="1">
          <a:off x="3838575" y="2390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0</xdr:rowOff>
    </xdr:from>
    <xdr:to>
      <xdr:col>11</xdr:col>
      <xdr:colOff>266700</xdr:colOff>
      <xdr:row>17</xdr:row>
      <xdr:rowOff>0</xdr:rowOff>
    </xdr:to>
    <xdr:sp>
      <xdr:nvSpPr>
        <xdr:cNvPr id="79" name="Line 123"/>
        <xdr:cNvSpPr>
          <a:spLocks/>
        </xdr:cNvSpPr>
      </xdr:nvSpPr>
      <xdr:spPr>
        <a:xfrm>
          <a:off x="3305175" y="24288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65"/>
  <sheetViews>
    <sheetView tabSelected="1" zoomScaleSheetLayoutView="100" workbookViewId="0" topLeftCell="A1">
      <selection activeCell="O8" sqref="O8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88" t="s">
        <v>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2:21" ht="11.2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75"/>
    </row>
    <row r="3" spans="1:21" ht="11.25" customHeight="1">
      <c r="A3" s="3">
        <v>1</v>
      </c>
      <c r="B3" s="4" t="s">
        <v>0</v>
      </c>
      <c r="C3" s="5"/>
      <c r="D3" s="5"/>
      <c r="E3" s="21" t="s">
        <v>12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6</v>
      </c>
      <c r="Q3" s="11"/>
      <c r="R3" s="93" t="s">
        <v>124</v>
      </c>
      <c r="S3" s="93"/>
      <c r="T3" s="93"/>
      <c r="U3" s="94"/>
    </row>
    <row r="4" spans="1:21" ht="11.25" customHeight="1">
      <c r="A4" s="3">
        <v>2</v>
      </c>
      <c r="B4" s="6" t="s">
        <v>1</v>
      </c>
      <c r="C4" s="7"/>
      <c r="D4" s="7"/>
      <c r="E4" s="22" t="s">
        <v>10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7</v>
      </c>
      <c r="Q4" s="7"/>
      <c r="R4" s="95" t="s">
        <v>16</v>
      </c>
      <c r="S4" s="95"/>
      <c r="T4" s="95"/>
      <c r="U4" s="96"/>
    </row>
    <row r="5" spans="1:21" ht="11.25" customHeight="1">
      <c r="A5" s="3">
        <v>3</v>
      </c>
      <c r="B5" s="6" t="s">
        <v>2</v>
      </c>
      <c r="C5" s="7"/>
      <c r="D5" s="7"/>
      <c r="E5" s="22" t="s">
        <v>11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8</v>
      </c>
      <c r="Q5" s="7"/>
      <c r="R5" s="87" t="s">
        <v>332</v>
      </c>
      <c r="S5" s="87"/>
      <c r="T5" s="87"/>
      <c r="U5" s="97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9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3</v>
      </c>
      <c r="C7" s="11"/>
      <c r="D7" s="11"/>
      <c r="E7" s="20" t="s">
        <v>50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4</v>
      </c>
      <c r="Q7" s="11"/>
      <c r="R7" s="76" t="s">
        <v>51</v>
      </c>
      <c r="S7" s="76"/>
      <c r="T7" s="76"/>
      <c r="U7" s="77"/>
    </row>
    <row r="8" spans="1:21" ht="11.25" customHeight="1">
      <c r="A8" s="3">
        <v>6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78" t="s">
        <v>17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3" ht="11.25" customHeight="1">
      <c r="A10" s="3">
        <v>8</v>
      </c>
      <c r="B10" s="4" t="s">
        <v>18</v>
      </c>
      <c r="C10" s="5"/>
      <c r="D10" s="5"/>
      <c r="E10" s="21" t="s">
        <v>23</v>
      </c>
      <c r="F10" s="5"/>
      <c r="G10" s="5"/>
      <c r="H10" s="5"/>
      <c r="I10" s="5"/>
      <c r="J10" s="5"/>
      <c r="K10" s="5"/>
      <c r="L10" s="10" t="s">
        <v>25</v>
      </c>
      <c r="M10" s="5"/>
      <c r="N10" s="5"/>
      <c r="O10" s="5"/>
      <c r="P10" s="5" t="s">
        <v>26</v>
      </c>
      <c r="Q10" s="5"/>
      <c r="R10" s="5"/>
      <c r="S10" s="5"/>
      <c r="T10" s="5"/>
      <c r="U10" s="13"/>
      <c r="W10" s="32" t="s">
        <v>29</v>
      </c>
    </row>
    <row r="11" spans="1:23" ht="11.25" customHeight="1">
      <c r="A11" s="3">
        <v>9</v>
      </c>
      <c r="B11" s="81" t="s">
        <v>19</v>
      </c>
      <c r="C11" s="82"/>
      <c r="D11" s="82"/>
      <c r="E11" s="7" t="s">
        <v>20</v>
      </c>
      <c r="F11" s="7"/>
      <c r="G11" s="30" t="s">
        <v>48</v>
      </c>
      <c r="H11" s="87">
        <v>149</v>
      </c>
      <c r="I11" s="87"/>
      <c r="J11" s="7" t="s">
        <v>24</v>
      </c>
      <c r="K11" s="7"/>
      <c r="L11" s="6" t="s">
        <v>61</v>
      </c>
      <c r="M11" s="7"/>
      <c r="N11" s="7"/>
      <c r="O11" s="7"/>
      <c r="P11" s="7" t="s">
        <v>28</v>
      </c>
      <c r="Q11" s="7"/>
      <c r="R11" s="7"/>
      <c r="S11" s="7"/>
      <c r="T11" s="7"/>
      <c r="U11" s="1"/>
      <c r="W11" s="2" t="s">
        <v>27</v>
      </c>
    </row>
    <row r="12" spans="1:21" ht="11.25" customHeight="1">
      <c r="A12" s="3">
        <v>10</v>
      </c>
      <c r="B12" s="83"/>
      <c r="C12" s="84"/>
      <c r="D12" s="84"/>
      <c r="E12" s="7" t="s">
        <v>21</v>
      </c>
      <c r="F12" s="7"/>
      <c r="G12" s="30" t="s">
        <v>49</v>
      </c>
      <c r="H12" s="87">
        <v>200</v>
      </c>
      <c r="I12" s="87"/>
      <c r="J12" s="7" t="str">
        <f>J11</f>
        <v>℃</v>
      </c>
      <c r="K12" s="7"/>
      <c r="L12" s="6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85"/>
      <c r="C13" s="86"/>
      <c r="D13" s="86"/>
      <c r="E13" s="7" t="s">
        <v>22</v>
      </c>
      <c r="F13" s="7"/>
      <c r="G13" s="30" t="s">
        <v>47</v>
      </c>
      <c r="H13" s="87">
        <v>10</v>
      </c>
      <c r="I13" s="87"/>
      <c r="J13" s="7" t="str">
        <f>J11</f>
        <v>℃</v>
      </c>
      <c r="K13" s="7"/>
      <c r="L13" s="6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33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78" t="s">
        <v>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21" ht="11.25" customHeight="1">
      <c r="A16" s="3">
        <v>14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ht="11.25" customHeight="1">
      <c r="A17" s="3">
        <v>15</v>
      </c>
      <c r="B17" s="3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8"/>
    </row>
    <row r="18" spans="1:21" ht="11.25" customHeight="1">
      <c r="A18" s="3">
        <v>16</v>
      </c>
      <c r="B18" s="3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8"/>
    </row>
    <row r="19" spans="1:21" ht="11.25" customHeight="1">
      <c r="A19" s="3">
        <v>17</v>
      </c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8"/>
    </row>
    <row r="20" spans="1:21" ht="11.25" customHeight="1">
      <c r="A20" s="3">
        <v>18</v>
      </c>
      <c r="B20" s="3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8"/>
    </row>
    <row r="21" spans="1:21" ht="11.25" customHeight="1">
      <c r="A21" s="3">
        <v>19</v>
      </c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38"/>
    </row>
    <row r="22" spans="1:21" ht="11.25" customHeight="1">
      <c r="A22" s="3">
        <v>20</v>
      </c>
      <c r="B22" s="3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8"/>
    </row>
    <row r="23" spans="1:21" ht="11.25" customHeight="1">
      <c r="A23" s="3">
        <v>21</v>
      </c>
      <c r="B23" s="3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8"/>
    </row>
    <row r="24" spans="1:21" ht="11.25" customHeight="1">
      <c r="A24" s="3">
        <v>22</v>
      </c>
      <c r="B24" s="3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8"/>
    </row>
    <row r="25" spans="1:23" ht="11.25" customHeight="1">
      <c r="A25" s="3">
        <v>23</v>
      </c>
      <c r="B25" s="3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8"/>
      <c r="W25" s="32" t="s">
        <v>54</v>
      </c>
    </row>
    <row r="26" spans="1:23" ht="11.25" customHeight="1">
      <c r="A26" s="3">
        <v>24</v>
      </c>
      <c r="B26" s="37"/>
      <c r="C26" s="19"/>
      <c r="D26" s="19"/>
      <c r="E26" s="19"/>
      <c r="F26" s="19"/>
      <c r="G26" s="19"/>
      <c r="H26" s="19"/>
      <c r="I26" s="19"/>
      <c r="J26" s="43" t="str">
        <f>W26&amp;"  ="</f>
        <v>L  =</v>
      </c>
      <c r="K26" s="100">
        <v>5900</v>
      </c>
      <c r="L26" s="100"/>
      <c r="M26" s="19" t="s">
        <v>31</v>
      </c>
      <c r="N26" s="19"/>
      <c r="O26" s="19"/>
      <c r="P26" s="19"/>
      <c r="Q26" s="19"/>
      <c r="R26" s="19"/>
      <c r="S26" s="19"/>
      <c r="T26" s="19"/>
      <c r="U26" s="38"/>
      <c r="W26" s="48" t="s">
        <v>53</v>
      </c>
    </row>
    <row r="27" spans="1:21" ht="11.25" customHeight="1">
      <c r="A27" s="3">
        <v>25</v>
      </c>
      <c r="B27" s="3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8"/>
    </row>
    <row r="28" spans="1:21" ht="11.25" customHeight="1">
      <c r="A28" s="3">
        <v>26</v>
      </c>
      <c r="B28" s="78" t="s">
        <v>32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</row>
    <row r="29" spans="1:23" ht="11.25" customHeight="1">
      <c r="A29" s="3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5"/>
      <c r="W29" s="32" t="s">
        <v>66</v>
      </c>
    </row>
    <row r="30" spans="1:21" ht="11.25" customHeight="1">
      <c r="A30" s="3">
        <v>28</v>
      </c>
      <c r="B30" s="6" t="s">
        <v>52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41" ht="11.25" customHeight="1">
      <c r="A31" s="3">
        <v>29</v>
      </c>
      <c r="B31" s="42" t="s">
        <v>35</v>
      </c>
      <c r="C31" s="7" t="s">
        <v>36</v>
      </c>
      <c r="D31" s="7" t="str">
        <f>W26&amp;"  x  (  "&amp;K33&amp;"  x  "&amp;K34&amp;"  -  "&amp;K35&amp;"  x  "&amp;K36&amp;"  )"</f>
        <v>L  x  (  αT  x  T  -  αTa  x  Ta  )</v>
      </c>
      <c r="E31" s="7"/>
      <c r="F31" s="7"/>
      <c r="G31" s="7"/>
      <c r="H31" s="7"/>
      <c r="I31" s="7"/>
      <c r="J31" s="40" t="s">
        <v>46</v>
      </c>
      <c r="K31" s="39" t="str">
        <f>B31</f>
        <v>Δ</v>
      </c>
      <c r="L31" s="7" t="s">
        <v>39</v>
      </c>
      <c r="M31" s="7"/>
      <c r="N31" s="7"/>
      <c r="O31" s="7"/>
      <c r="P31" s="7"/>
      <c r="Q31" s="7"/>
      <c r="R31" s="7" t="s">
        <v>38</v>
      </c>
      <c r="S31" s="7"/>
      <c r="T31" s="7"/>
      <c r="U31" s="1"/>
      <c r="W31" s="42" t="s">
        <v>35</v>
      </c>
      <c r="X31" s="7" t="s">
        <v>36</v>
      </c>
      <c r="Y31" s="7" t="str">
        <f>W26&amp;"  x  "&amp;AE33&amp;"  x  (  "&amp;AE34&amp;"  -  "&amp;AE35&amp;"  )"</f>
        <v>L  x  αm  x  (  T  -  Ta  )</v>
      </c>
      <c r="Z31" s="7"/>
      <c r="AA31" s="7"/>
      <c r="AB31" s="7"/>
      <c r="AC31" s="7"/>
      <c r="AD31" s="40" t="s">
        <v>46</v>
      </c>
      <c r="AE31" s="39" t="str">
        <f>W31</f>
        <v>Δ</v>
      </c>
      <c r="AF31" s="7" t="s">
        <v>39</v>
      </c>
      <c r="AG31" s="7"/>
      <c r="AH31" s="7"/>
      <c r="AI31" s="7"/>
      <c r="AJ31" s="7"/>
      <c r="AK31" s="7"/>
      <c r="AL31" s="7"/>
      <c r="AM31" s="7"/>
      <c r="AN31" s="7" t="s">
        <v>38</v>
      </c>
      <c r="AO31" s="7"/>
    </row>
    <row r="32" spans="1:41" ht="11.25" customHeight="1">
      <c r="A32" s="3">
        <v>30</v>
      </c>
      <c r="B32" s="6"/>
      <c r="C32" s="7"/>
      <c r="D32" s="7"/>
      <c r="E32" s="7"/>
      <c r="F32" s="7"/>
      <c r="G32" s="7"/>
      <c r="H32" s="7"/>
      <c r="I32" s="7"/>
      <c r="J32" s="7"/>
      <c r="K32" s="30" t="str">
        <f>W26</f>
        <v>L</v>
      </c>
      <c r="L32" s="7" t="s">
        <v>37</v>
      </c>
      <c r="M32" s="7"/>
      <c r="N32" s="7"/>
      <c r="O32" s="7"/>
      <c r="P32" s="7"/>
      <c r="Q32" s="7"/>
      <c r="R32" s="7" t="str">
        <f>R31</f>
        <v>mm</v>
      </c>
      <c r="S32" s="7"/>
      <c r="T32" s="7"/>
      <c r="U32" s="1"/>
      <c r="W32" s="6"/>
      <c r="X32" s="7"/>
      <c r="Y32" s="7"/>
      <c r="Z32" s="7"/>
      <c r="AA32" s="7"/>
      <c r="AB32" s="7"/>
      <c r="AC32" s="7"/>
      <c r="AD32" s="7"/>
      <c r="AE32" s="30" t="str">
        <f>W26</f>
        <v>L</v>
      </c>
      <c r="AF32" s="7" t="s">
        <v>37</v>
      </c>
      <c r="AG32" s="7"/>
      <c r="AH32" s="7"/>
      <c r="AI32" s="7"/>
      <c r="AJ32" s="7"/>
      <c r="AK32" s="7"/>
      <c r="AL32" s="7"/>
      <c r="AM32" s="7"/>
      <c r="AN32" s="7" t="str">
        <f>AN31</f>
        <v>mm</v>
      </c>
      <c r="AO32" s="7"/>
    </row>
    <row r="33" spans="1:4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39" t="s">
        <v>33</v>
      </c>
      <c r="L33" s="7" t="str">
        <f>"Mean Coeff. of Thermal Expansion at "&amp;K34</f>
        <v>Mean Coeff. of Thermal Expansion at T</v>
      </c>
      <c r="M33" s="7"/>
      <c r="N33" s="7"/>
      <c r="O33" s="7"/>
      <c r="P33" s="7"/>
      <c r="Q33" s="7"/>
      <c r="R33" s="7" t="str">
        <f>"mm / mm / "&amp;R34&amp;" x 10^6"</f>
        <v>mm / mm / ℃ x 10^6</v>
      </c>
      <c r="S33" s="7"/>
      <c r="T33" s="7"/>
      <c r="U33" s="1"/>
      <c r="W33" s="6"/>
      <c r="X33" s="7"/>
      <c r="Y33" s="7"/>
      <c r="Z33" s="7"/>
      <c r="AA33" s="7"/>
      <c r="AB33" s="7"/>
      <c r="AC33" s="7"/>
      <c r="AD33" s="7"/>
      <c r="AE33" s="39" t="s">
        <v>67</v>
      </c>
      <c r="AF33" s="7" t="s">
        <v>68</v>
      </c>
      <c r="AG33" s="7"/>
      <c r="AH33" s="7"/>
      <c r="AI33" s="7"/>
      <c r="AJ33" s="7"/>
      <c r="AK33" s="7"/>
      <c r="AL33" s="7"/>
      <c r="AM33" s="7"/>
      <c r="AN33" s="7" t="str">
        <f>"mm / mm / "&amp;AN34&amp;" x 10^6"</f>
        <v>mm / mm / ℃ x 10^6</v>
      </c>
      <c r="AO33" s="7"/>
    </row>
    <row r="34" spans="1:4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30" t="s">
        <v>13</v>
      </c>
      <c r="L34" s="7" t="str">
        <f>E11&amp;" or "&amp;E12&amp;" Temperature"</f>
        <v>Oper. or Design Temperature</v>
      </c>
      <c r="M34" s="7"/>
      <c r="N34" s="7"/>
      <c r="O34" s="7"/>
      <c r="P34" s="7"/>
      <c r="Q34" s="7"/>
      <c r="R34" s="41" t="str">
        <f>J11</f>
        <v>℃</v>
      </c>
      <c r="S34" s="7"/>
      <c r="T34" s="7"/>
      <c r="U34" s="1"/>
      <c r="W34" s="6"/>
      <c r="X34" s="7"/>
      <c r="Y34" s="7"/>
      <c r="Z34" s="7"/>
      <c r="AA34" s="7"/>
      <c r="AB34" s="7"/>
      <c r="AC34" s="7"/>
      <c r="AD34" s="7"/>
      <c r="AE34" s="30" t="s">
        <v>13</v>
      </c>
      <c r="AF34" s="7" t="str">
        <f>E11&amp;" or "&amp;E12&amp;" Temperature"</f>
        <v>Oper. or Design Temperature</v>
      </c>
      <c r="AG34" s="7"/>
      <c r="AH34" s="7"/>
      <c r="AI34" s="7"/>
      <c r="AJ34" s="7"/>
      <c r="AK34" s="7"/>
      <c r="AL34" s="7"/>
      <c r="AM34" s="7"/>
      <c r="AN34" s="41" t="str">
        <f>J11</f>
        <v>℃</v>
      </c>
      <c r="AO34" s="7"/>
    </row>
    <row r="35" spans="1:4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39" t="s">
        <v>34</v>
      </c>
      <c r="L35" s="7" t="str">
        <f>"Mean Coeff. of Thermal Expansion at "&amp;K36</f>
        <v>Mean Coeff. of Thermal Expansion at Ta</v>
      </c>
      <c r="M35" s="7"/>
      <c r="N35" s="7"/>
      <c r="O35" s="7"/>
      <c r="P35" s="7"/>
      <c r="Q35" s="7"/>
      <c r="R35" s="7" t="str">
        <f>"mm / mm / "&amp;R34&amp;" x 10^6"</f>
        <v>mm / mm / ℃ x 10^6</v>
      </c>
      <c r="S35" s="7"/>
      <c r="T35" s="7"/>
      <c r="U35" s="1"/>
      <c r="W35" s="6"/>
      <c r="X35" s="7"/>
      <c r="Y35" s="7"/>
      <c r="Z35" s="7"/>
      <c r="AA35" s="7"/>
      <c r="AB35" s="7"/>
      <c r="AC35" s="7"/>
      <c r="AD35" s="7"/>
      <c r="AE35" s="30" t="str">
        <f>G13</f>
        <v>Ta</v>
      </c>
      <c r="AF35" s="7" t="str">
        <f>E13&amp;" Temperature"</f>
        <v>Ambient Temperature</v>
      </c>
      <c r="AG35" s="7"/>
      <c r="AH35" s="7"/>
      <c r="AI35" s="7"/>
      <c r="AJ35" s="7"/>
      <c r="AK35" s="7"/>
      <c r="AL35" s="7"/>
      <c r="AM35" s="7"/>
      <c r="AN35" s="7" t="str">
        <f>AN34</f>
        <v>℃</v>
      </c>
      <c r="AO35" s="7"/>
    </row>
    <row r="36" spans="1:4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30" t="str">
        <f>G13</f>
        <v>Ta</v>
      </c>
      <c r="L36" s="7" t="str">
        <f>E13&amp;" Temperature"</f>
        <v>Ambient Temperature</v>
      </c>
      <c r="M36" s="7"/>
      <c r="N36" s="7"/>
      <c r="O36" s="7"/>
      <c r="P36" s="7"/>
      <c r="Q36" s="7"/>
      <c r="R36" s="7" t="str">
        <f>R34</f>
        <v>℃</v>
      </c>
      <c r="S36" s="7"/>
      <c r="T36" s="7"/>
      <c r="U36" s="1"/>
      <c r="W36" s="8"/>
      <c r="X36" s="8"/>
      <c r="Y36" s="8"/>
      <c r="Z36" s="8"/>
      <c r="AA36" s="8"/>
      <c r="AB36" s="8"/>
      <c r="AC36" s="8"/>
      <c r="AD36" s="8"/>
      <c r="AE36" s="8"/>
      <c r="AN36" s="8"/>
      <c r="AO36" s="8"/>
    </row>
    <row r="37" spans="1:28" ht="11.25" customHeight="1">
      <c r="A37" s="3">
        <v>35</v>
      </c>
      <c r="B37" s="44" t="str">
        <f>" "&amp;L31&amp;"  at  "&amp;G11</f>
        <v> Elongation  at  To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  <c r="AB37" s="55" t="str">
        <f>AE33</f>
        <v>αm</v>
      </c>
    </row>
    <row r="38" spans="1:33" ht="11.25" customHeight="1">
      <c r="A38" s="3">
        <v>36</v>
      </c>
      <c r="B38" s="45" t="str">
        <f>B31&amp;"o"</f>
        <v>Δo</v>
      </c>
      <c r="C38" s="7" t="s">
        <v>36</v>
      </c>
      <c r="D38" s="105">
        <f>K26</f>
        <v>5900</v>
      </c>
      <c r="E38" s="105"/>
      <c r="F38" s="31" t="s">
        <v>40</v>
      </c>
      <c r="G38" s="46">
        <f>alphaTEMA(mindex(P11,40),I38,R34)*IF(R34&lt;&gt;"℉",1,5/9)</f>
        <v>12.42072</v>
      </c>
      <c r="H38" s="31" t="s">
        <v>41</v>
      </c>
      <c r="I38" s="46">
        <f>H11</f>
        <v>149</v>
      </c>
      <c r="J38" s="31" t="s">
        <v>42</v>
      </c>
      <c r="K38" s="46">
        <f>alphaTEMA(mindex(P11,40),M38,R36)*IF(R36&lt;&gt;"℉",1,5/9)</f>
        <v>11.519999999999998</v>
      </c>
      <c r="L38" s="31" t="s">
        <v>43</v>
      </c>
      <c r="M38" s="46">
        <f>H13</f>
        <v>10</v>
      </c>
      <c r="N38" s="47" t="s">
        <v>44</v>
      </c>
      <c r="O38" s="7"/>
      <c r="P38" s="31" t="s">
        <v>45</v>
      </c>
      <c r="Q38" s="104">
        <f>D38*(G38*I38-K38*M38)/10^6</f>
        <v>10.239374952</v>
      </c>
      <c r="R38" s="104"/>
      <c r="S38" s="49" t="str">
        <f>R31</f>
        <v>mm</v>
      </c>
      <c r="T38" s="7"/>
      <c r="U38" s="1"/>
      <c r="W38" s="53">
        <f>Y38*AB38*(AD38-AF38)/10^6</f>
        <v>9.816892236</v>
      </c>
      <c r="X38" s="3" t="s">
        <v>62</v>
      </c>
      <c r="Y38" s="98">
        <f>D38</f>
        <v>5900</v>
      </c>
      <c r="Z38" s="99"/>
      <c r="AA38" s="3" t="s">
        <v>63</v>
      </c>
      <c r="AB38" s="54">
        <f>alphaTEMA(mindex(P11,40),(AD38+AF38)/2,AN34)*IF(AN34&lt;&gt;"℉",1,5/9)</f>
        <v>11.97036</v>
      </c>
      <c r="AC38" s="3" t="s">
        <v>64</v>
      </c>
      <c r="AD38" s="3">
        <f>I38</f>
        <v>149</v>
      </c>
      <c r="AE38" s="3" t="s">
        <v>65</v>
      </c>
      <c r="AF38" s="3">
        <f>M38</f>
        <v>10</v>
      </c>
      <c r="AG38" s="52" t="str">
        <f>N38</f>
        <v>)  /  10^6</v>
      </c>
    </row>
    <row r="39" spans="1:21" ht="11.25" customHeight="1">
      <c r="A39" s="3">
        <v>37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44" t="str">
        <f>" "&amp;L31&amp;"  at  "&amp;G12</f>
        <v> Elongation  at  Td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33" ht="11.25" customHeight="1">
      <c r="A41" s="3">
        <v>39</v>
      </c>
      <c r="B41" s="45" t="str">
        <f>B31&amp;"d"</f>
        <v>Δd</v>
      </c>
      <c r="C41" s="7" t="s">
        <v>36</v>
      </c>
      <c r="D41" s="105">
        <f>D38</f>
        <v>5900</v>
      </c>
      <c r="E41" s="105"/>
      <c r="F41" s="31" t="s">
        <v>40</v>
      </c>
      <c r="G41" s="46">
        <f>alphaTEMA(mindex(P11,40),I41,R34)*IF(R34&lt;&gt;"℉",1,5/9)</f>
        <v>12.751199999999999</v>
      </c>
      <c r="H41" s="31" t="s">
        <v>41</v>
      </c>
      <c r="I41" s="46">
        <f>H12</f>
        <v>200</v>
      </c>
      <c r="J41" s="31" t="s">
        <v>42</v>
      </c>
      <c r="K41" s="46">
        <f>alphaTEMA(mindex(P11,40),M41,R36)*IF(R36&lt;&gt;"℉",1,5/9)</f>
        <v>11.519999999999998</v>
      </c>
      <c r="L41" s="31" t="s">
        <v>43</v>
      </c>
      <c r="M41" s="46">
        <f>M38</f>
        <v>10</v>
      </c>
      <c r="N41" s="47" t="s">
        <v>44</v>
      </c>
      <c r="O41" s="7"/>
      <c r="P41" s="31" t="s">
        <v>45</v>
      </c>
      <c r="Q41" s="104">
        <f>D41*(G41*I41-K41*M41)/10^6</f>
        <v>14.366736</v>
      </c>
      <c r="R41" s="104"/>
      <c r="S41" s="49" t="str">
        <f>R31</f>
        <v>mm</v>
      </c>
      <c r="T41" s="7"/>
      <c r="U41" s="1"/>
      <c r="W41" s="53">
        <f>Y41*AB41*(AD41-AF41)/10^6</f>
        <v>13.604007600000001</v>
      </c>
      <c r="X41" s="3" t="s">
        <v>62</v>
      </c>
      <c r="Y41" s="98">
        <f>D41</f>
        <v>5900</v>
      </c>
      <c r="Z41" s="99"/>
      <c r="AA41" s="3" t="s">
        <v>63</v>
      </c>
      <c r="AB41" s="54">
        <f>alphaTEMA(mindex(P11,40),(AD41+AF41)/2,AN34)*IF(AN34&lt;&gt;"℉",1,5/9)</f>
        <v>12.1356</v>
      </c>
      <c r="AC41" s="3" t="s">
        <v>64</v>
      </c>
      <c r="AD41" s="3">
        <f>I41</f>
        <v>200</v>
      </c>
      <c r="AE41" s="3" t="s">
        <v>65</v>
      </c>
      <c r="AF41" s="3">
        <f>M41</f>
        <v>10</v>
      </c>
      <c r="AG41" s="52" t="str">
        <f>N41</f>
        <v>)  /  10^6</v>
      </c>
    </row>
    <row r="42" spans="1:21" ht="11.25" customHeight="1">
      <c r="A42" s="3">
        <v>40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1.25" customHeight="1">
      <c r="A43" s="3">
        <v>41</v>
      </c>
      <c r="B43" s="101" t="s">
        <v>14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22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8"/>
      <c r="R46" s="8"/>
      <c r="S46" s="8"/>
      <c r="T46" s="8"/>
      <c r="U46" s="12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3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38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50" t="s">
        <v>55</v>
      </c>
      <c r="C58" s="7" t="s">
        <v>60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50" t="s">
        <v>56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50" t="s">
        <v>57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50" t="s">
        <v>58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1" t="s">
        <v>59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334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333</v>
      </c>
    </row>
    <row r="64" ht="11.25" customHeight="1">
      <c r="A64" s="3"/>
    </row>
    <row r="65" ht="11.25" customHeight="1">
      <c r="A65" s="3"/>
    </row>
  </sheetData>
  <mergeCells count="20">
    <mergeCell ref="B43:U43"/>
    <mergeCell ref="B28:U28"/>
    <mergeCell ref="Q38:R38"/>
    <mergeCell ref="D41:E41"/>
    <mergeCell ref="Q41:R41"/>
    <mergeCell ref="D38:E38"/>
    <mergeCell ref="Y38:Z38"/>
    <mergeCell ref="Y41:Z41"/>
    <mergeCell ref="B15:U15"/>
    <mergeCell ref="K26:L26"/>
    <mergeCell ref="B1:U2"/>
    <mergeCell ref="R3:U3"/>
    <mergeCell ref="R4:U4"/>
    <mergeCell ref="R5:U5"/>
    <mergeCell ref="R7:U7"/>
    <mergeCell ref="B9:U9"/>
    <mergeCell ref="B11:D13"/>
    <mergeCell ref="H11:I11"/>
    <mergeCell ref="H12:I12"/>
    <mergeCell ref="H13:I13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65"/>
  <sheetViews>
    <sheetView zoomScaleSheetLayoutView="100" workbookViewId="0" topLeftCell="A1">
      <selection activeCell="O8" sqref="O8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88" t="s">
        <v>69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2:21" ht="11.2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75"/>
    </row>
    <row r="3" spans="1:21" ht="11.25" customHeight="1">
      <c r="A3" s="3">
        <v>1</v>
      </c>
      <c r="B3" s="4" t="s">
        <v>70</v>
      </c>
      <c r="C3" s="5"/>
      <c r="D3" s="5"/>
      <c r="E3" s="21" t="s">
        <v>71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72</v>
      </c>
      <c r="Q3" s="11"/>
      <c r="R3" s="93" t="s">
        <v>145</v>
      </c>
      <c r="S3" s="93"/>
      <c r="T3" s="93"/>
      <c r="U3" s="94"/>
    </row>
    <row r="4" spans="1:21" ht="11.25" customHeight="1">
      <c r="A4" s="3">
        <v>2</v>
      </c>
      <c r="B4" s="6" t="s">
        <v>73</v>
      </c>
      <c r="C4" s="7"/>
      <c r="D4" s="7"/>
      <c r="E4" s="22" t="s">
        <v>74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123</v>
      </c>
      <c r="Q4" s="7"/>
      <c r="R4" s="95" t="s">
        <v>75</v>
      </c>
      <c r="S4" s="95"/>
      <c r="T4" s="95"/>
      <c r="U4" s="96"/>
    </row>
    <row r="5" spans="1:21" ht="11.25" customHeight="1">
      <c r="A5" s="3">
        <v>3</v>
      </c>
      <c r="B5" s="6" t="s">
        <v>76</v>
      </c>
      <c r="C5" s="7"/>
      <c r="D5" s="7"/>
      <c r="E5" s="22" t="s">
        <v>77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78</v>
      </c>
      <c r="Q5" s="7"/>
      <c r="R5" s="87" t="s">
        <v>332</v>
      </c>
      <c r="S5" s="87"/>
      <c r="T5" s="87"/>
      <c r="U5" s="97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79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80</v>
      </c>
      <c r="C7" s="11"/>
      <c r="D7" s="11"/>
      <c r="E7" s="20" t="s">
        <v>81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82</v>
      </c>
      <c r="Q7" s="11"/>
      <c r="R7" s="76" t="s">
        <v>83</v>
      </c>
      <c r="S7" s="76"/>
      <c r="T7" s="76"/>
      <c r="U7" s="77"/>
    </row>
    <row r="8" spans="1:21" ht="11.25" customHeight="1">
      <c r="A8" s="3">
        <v>6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78" t="s">
        <v>84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3" ht="11.25" customHeight="1">
      <c r="A10" s="3">
        <v>8</v>
      </c>
      <c r="B10" s="4" t="s">
        <v>85</v>
      </c>
      <c r="C10" s="5"/>
      <c r="D10" s="5"/>
      <c r="E10" s="21" t="s">
        <v>86</v>
      </c>
      <c r="F10" s="5"/>
      <c r="G10" s="5"/>
      <c r="H10" s="5"/>
      <c r="I10" s="5"/>
      <c r="J10" s="5"/>
      <c r="K10" s="5"/>
      <c r="L10" s="10" t="s">
        <v>87</v>
      </c>
      <c r="M10" s="5"/>
      <c r="N10" s="5"/>
      <c r="O10" s="5"/>
      <c r="P10" s="5" t="s">
        <v>26</v>
      </c>
      <c r="Q10" s="5"/>
      <c r="R10" s="5"/>
      <c r="S10" s="5"/>
      <c r="T10" s="5"/>
      <c r="U10" s="13"/>
      <c r="W10" s="32" t="s">
        <v>88</v>
      </c>
    </row>
    <row r="11" spans="1:23" ht="11.25" customHeight="1">
      <c r="A11" s="3">
        <v>9</v>
      </c>
      <c r="B11" s="81" t="s">
        <v>89</v>
      </c>
      <c r="C11" s="82"/>
      <c r="D11" s="82"/>
      <c r="E11" s="7" t="s">
        <v>90</v>
      </c>
      <c r="F11" s="7"/>
      <c r="G11" s="30" t="s">
        <v>91</v>
      </c>
      <c r="H11" s="87">
        <v>149</v>
      </c>
      <c r="I11" s="87"/>
      <c r="J11" s="7" t="s">
        <v>24</v>
      </c>
      <c r="K11" s="7"/>
      <c r="L11" s="6" t="s">
        <v>92</v>
      </c>
      <c r="M11" s="7"/>
      <c r="N11" s="7"/>
      <c r="O11" s="7"/>
      <c r="P11" s="7" t="s">
        <v>28</v>
      </c>
      <c r="Q11" s="7"/>
      <c r="R11" s="7"/>
      <c r="S11" s="7"/>
      <c r="T11" s="7"/>
      <c r="U11" s="1"/>
      <c r="W11" s="2" t="s">
        <v>27</v>
      </c>
    </row>
    <row r="12" spans="1:21" ht="11.25" customHeight="1">
      <c r="A12" s="3">
        <v>10</v>
      </c>
      <c r="B12" s="83"/>
      <c r="C12" s="84"/>
      <c r="D12" s="84"/>
      <c r="E12" s="7" t="s">
        <v>93</v>
      </c>
      <c r="F12" s="7"/>
      <c r="G12" s="30" t="s">
        <v>94</v>
      </c>
      <c r="H12" s="87">
        <v>200</v>
      </c>
      <c r="I12" s="87"/>
      <c r="J12" s="7" t="str">
        <f>J11</f>
        <v>℃</v>
      </c>
      <c r="K12" s="7"/>
      <c r="L12" s="6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85"/>
      <c r="C13" s="86"/>
      <c r="D13" s="86"/>
      <c r="E13" s="7" t="s">
        <v>95</v>
      </c>
      <c r="F13" s="7"/>
      <c r="G13" s="30" t="s">
        <v>96</v>
      </c>
      <c r="H13" s="87">
        <v>10</v>
      </c>
      <c r="I13" s="87"/>
      <c r="J13" s="7" t="str">
        <f>J11</f>
        <v>℃</v>
      </c>
      <c r="K13" s="7"/>
      <c r="L13" s="6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33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78" t="s">
        <v>97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21" ht="11.25" customHeight="1">
      <c r="A16" s="3">
        <v>14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ht="11.25" customHeight="1">
      <c r="A17" s="3">
        <v>15</v>
      </c>
      <c r="B17" s="3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8"/>
    </row>
    <row r="18" spans="1:21" ht="11.25" customHeight="1">
      <c r="A18" s="3">
        <v>16</v>
      </c>
      <c r="B18" s="3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8"/>
    </row>
    <row r="19" spans="1:21" ht="11.25" customHeight="1">
      <c r="A19" s="3">
        <v>17</v>
      </c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8"/>
    </row>
    <row r="20" spans="1:21" ht="11.25" customHeight="1">
      <c r="A20" s="3">
        <v>18</v>
      </c>
      <c r="B20" s="3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8"/>
    </row>
    <row r="21" spans="1:21" ht="11.25" customHeight="1">
      <c r="A21" s="3">
        <v>19</v>
      </c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38"/>
    </row>
    <row r="22" spans="1:21" ht="11.25" customHeight="1">
      <c r="A22" s="3">
        <v>20</v>
      </c>
      <c r="B22" s="3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8"/>
    </row>
    <row r="23" spans="1:21" ht="11.25" customHeight="1">
      <c r="A23" s="3">
        <v>21</v>
      </c>
      <c r="B23" s="3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8"/>
    </row>
    <row r="24" spans="1:21" ht="11.25" customHeight="1">
      <c r="A24" s="3">
        <v>22</v>
      </c>
      <c r="B24" s="3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8"/>
    </row>
    <row r="25" spans="1:23" ht="11.25" customHeight="1">
      <c r="A25" s="3">
        <v>23</v>
      </c>
      <c r="B25" s="3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8"/>
      <c r="W25" s="32" t="s">
        <v>98</v>
      </c>
    </row>
    <row r="26" spans="1:23" ht="11.25" customHeight="1">
      <c r="A26" s="3">
        <v>24</v>
      </c>
      <c r="B26" s="37"/>
      <c r="C26" s="19"/>
      <c r="D26" s="19"/>
      <c r="E26" s="19"/>
      <c r="F26" s="19"/>
      <c r="G26" s="19"/>
      <c r="H26" s="19"/>
      <c r="I26" s="19"/>
      <c r="J26" s="43" t="str">
        <f>W26&amp;"  ="</f>
        <v>L  =</v>
      </c>
      <c r="K26" s="100">
        <v>5900</v>
      </c>
      <c r="L26" s="100"/>
      <c r="M26" s="19" t="s">
        <v>99</v>
      </c>
      <c r="N26" s="19"/>
      <c r="O26" s="19"/>
      <c r="P26" s="19"/>
      <c r="Q26" s="19"/>
      <c r="R26" s="19"/>
      <c r="S26" s="19"/>
      <c r="T26" s="19"/>
      <c r="U26" s="38"/>
      <c r="W26" s="48" t="s">
        <v>100</v>
      </c>
    </row>
    <row r="27" spans="1:21" ht="11.25" customHeight="1">
      <c r="A27" s="3">
        <v>25</v>
      </c>
      <c r="B27" s="3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8"/>
    </row>
    <row r="28" spans="1:21" ht="11.25" customHeight="1">
      <c r="A28" s="3">
        <v>26</v>
      </c>
      <c r="B28" s="78" t="s">
        <v>101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</row>
    <row r="29" spans="1:21" ht="11.25" customHeight="1">
      <c r="A29" s="3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5"/>
    </row>
    <row r="30" spans="1:21" ht="11.25" customHeight="1">
      <c r="A30" s="3">
        <v>28</v>
      </c>
      <c r="B30" s="6" t="s">
        <v>102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21" ht="11.25" customHeight="1">
      <c r="A31" s="3">
        <v>29</v>
      </c>
      <c r="B31" s="42" t="s">
        <v>103</v>
      </c>
      <c r="C31" s="7" t="s">
        <v>104</v>
      </c>
      <c r="D31" s="7" t="str">
        <f>W26&amp;"  x  "&amp;J33&amp;"  x  (  "&amp;J34&amp;"  -  "&amp;J35&amp;"  )"</f>
        <v>L  x  αm  x  (  T  -  Ta  )</v>
      </c>
      <c r="E31" s="7"/>
      <c r="F31" s="7"/>
      <c r="G31" s="7"/>
      <c r="H31" s="7"/>
      <c r="I31" s="40" t="s">
        <v>105</v>
      </c>
      <c r="J31" s="39" t="str">
        <f>B31</f>
        <v>Δ</v>
      </c>
      <c r="K31" s="7" t="s">
        <v>106</v>
      </c>
      <c r="L31" s="7"/>
      <c r="M31" s="7"/>
      <c r="N31" s="7"/>
      <c r="O31" s="7"/>
      <c r="P31" s="7"/>
      <c r="Q31" s="7"/>
      <c r="R31" s="7"/>
      <c r="S31" s="7" t="s">
        <v>99</v>
      </c>
      <c r="T31" s="7"/>
      <c r="U31" s="1"/>
    </row>
    <row r="32" spans="1:21" ht="11.25" customHeight="1">
      <c r="A32" s="3">
        <v>30</v>
      </c>
      <c r="B32" s="6"/>
      <c r="C32" s="7"/>
      <c r="D32" s="7"/>
      <c r="E32" s="7"/>
      <c r="F32" s="7"/>
      <c r="G32" s="7"/>
      <c r="H32" s="7"/>
      <c r="I32" s="7"/>
      <c r="J32" s="30" t="str">
        <f>W26</f>
        <v>L</v>
      </c>
      <c r="K32" s="7" t="s">
        <v>107</v>
      </c>
      <c r="L32" s="7"/>
      <c r="M32" s="7"/>
      <c r="N32" s="7"/>
      <c r="O32" s="7"/>
      <c r="P32" s="7"/>
      <c r="Q32" s="7"/>
      <c r="R32" s="7"/>
      <c r="S32" s="7" t="str">
        <f>S31</f>
        <v>mm</v>
      </c>
      <c r="T32" s="7"/>
      <c r="U32" s="1"/>
    </row>
    <row r="33" spans="1:2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39" t="s">
        <v>108</v>
      </c>
      <c r="K33" s="7" t="s">
        <v>109</v>
      </c>
      <c r="L33" s="7"/>
      <c r="M33" s="7"/>
      <c r="N33" s="7"/>
      <c r="O33" s="7"/>
      <c r="P33" s="7"/>
      <c r="Q33" s="7"/>
      <c r="R33" s="7"/>
      <c r="S33" s="7" t="str">
        <f>"mm / mm / "&amp;S34&amp;" x 10^6"</f>
        <v>mm / mm / ℃ x 10^6</v>
      </c>
      <c r="T33" s="7"/>
      <c r="U33" s="1"/>
    </row>
    <row r="34" spans="1:2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30" t="s">
        <v>110</v>
      </c>
      <c r="K34" s="7" t="str">
        <f>E11&amp;" or "&amp;E12&amp;" Temperature"</f>
        <v>Oper. or Design Temperature</v>
      </c>
      <c r="L34" s="7"/>
      <c r="M34" s="7"/>
      <c r="N34" s="7"/>
      <c r="O34" s="7"/>
      <c r="P34" s="7"/>
      <c r="Q34" s="7"/>
      <c r="R34" s="7"/>
      <c r="S34" s="41" t="str">
        <f>J11</f>
        <v>℃</v>
      </c>
      <c r="T34" s="7"/>
      <c r="U34" s="1"/>
    </row>
    <row r="35" spans="1:4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30" t="str">
        <f>G13</f>
        <v>Ta</v>
      </c>
      <c r="K35" s="7" t="str">
        <f>E13&amp;" Temperature"</f>
        <v>Ambient Temperature</v>
      </c>
      <c r="L35" s="7"/>
      <c r="M35" s="7"/>
      <c r="N35" s="7"/>
      <c r="O35" s="7"/>
      <c r="P35" s="7"/>
      <c r="Q35" s="7"/>
      <c r="R35" s="7"/>
      <c r="S35" s="7" t="str">
        <f>S34</f>
        <v>℃</v>
      </c>
      <c r="T35" s="7"/>
      <c r="U35" s="1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11.25" customHeight="1">
      <c r="A36" s="3">
        <v>34</v>
      </c>
      <c r="B36" s="44" t="str">
        <f>" "&amp;K31&amp;"  at  "&amp;G11</f>
        <v> Elongation  at  To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  <c r="AB36" s="19"/>
      <c r="AI36" s="19"/>
      <c r="AJ36" s="19"/>
      <c r="AK36" s="19"/>
      <c r="AL36" s="19"/>
      <c r="AM36" s="19"/>
      <c r="AN36" s="19"/>
      <c r="AO36" s="19"/>
    </row>
    <row r="37" spans="1:21" ht="11.25" customHeight="1">
      <c r="A37" s="3">
        <v>35</v>
      </c>
      <c r="B37" s="45" t="str">
        <f>B31&amp;"o"</f>
        <v>Δo</v>
      </c>
      <c r="C37" s="7" t="s">
        <v>104</v>
      </c>
      <c r="D37" s="98">
        <f>K26</f>
        <v>5900</v>
      </c>
      <c r="E37" s="99"/>
      <c r="F37" s="3" t="s">
        <v>111</v>
      </c>
      <c r="G37" s="54">
        <f>alphaTEMA(mindex(P11,40),(I37+K37)/2,S34)*IF(S34&lt;&gt;"℉",1,5/9)</f>
        <v>11.97036</v>
      </c>
      <c r="H37" s="3" t="s">
        <v>113</v>
      </c>
      <c r="I37" s="3">
        <f>H11</f>
        <v>149</v>
      </c>
      <c r="J37" s="3" t="s">
        <v>112</v>
      </c>
      <c r="K37" s="3">
        <f>H13</f>
        <v>10</v>
      </c>
      <c r="L37" s="52" t="s">
        <v>122</v>
      </c>
      <c r="M37" s="7"/>
      <c r="N37" s="7"/>
      <c r="O37" s="7"/>
      <c r="P37" s="31" t="s">
        <v>104</v>
      </c>
      <c r="Q37" s="104">
        <f>D37*G37*(I37-K37)/10^6</f>
        <v>9.816892236</v>
      </c>
      <c r="R37" s="104"/>
      <c r="S37" s="49" t="str">
        <f>S31</f>
        <v>mm</v>
      </c>
      <c r="T37" s="7"/>
      <c r="U37" s="1"/>
    </row>
    <row r="38" spans="1:21" ht="11.25" customHeight="1">
      <c r="A38" s="3">
        <v>36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1.25" customHeight="1">
      <c r="A39" s="3">
        <v>37</v>
      </c>
      <c r="B39" s="44" t="str">
        <f>" "&amp;K31&amp;"  at  "&amp;G12</f>
        <v> Elongation  at  Td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45" t="str">
        <f>B31&amp;"d"</f>
        <v>Δd</v>
      </c>
      <c r="C40" s="7" t="s">
        <v>104</v>
      </c>
      <c r="D40" s="98">
        <f>D37</f>
        <v>5900</v>
      </c>
      <c r="E40" s="99"/>
      <c r="F40" s="3" t="s">
        <v>111</v>
      </c>
      <c r="G40" s="54">
        <f>alphaTEMA(mindex(P11,40),(I40+K40)/2,S34)*IF(S34&lt;&gt;"℉",1,5/9)</f>
        <v>12.1356</v>
      </c>
      <c r="H40" s="3" t="s">
        <v>113</v>
      </c>
      <c r="I40" s="3">
        <f>H12</f>
        <v>200</v>
      </c>
      <c r="J40" s="3" t="s">
        <v>112</v>
      </c>
      <c r="K40" s="3">
        <f>K37</f>
        <v>10</v>
      </c>
      <c r="L40" s="52" t="s">
        <v>122</v>
      </c>
      <c r="M40" s="7"/>
      <c r="N40" s="7"/>
      <c r="O40" s="7"/>
      <c r="P40" s="31" t="s">
        <v>104</v>
      </c>
      <c r="Q40" s="104">
        <f>D40*G40*(I40-K40)/10^6</f>
        <v>13.604007600000001</v>
      </c>
      <c r="R40" s="104"/>
      <c r="S40" s="49" t="str">
        <f>S31</f>
        <v>mm</v>
      </c>
      <c r="T40" s="7"/>
      <c r="U40" s="1"/>
    </row>
    <row r="41" spans="1:21" ht="11.25" customHeight="1">
      <c r="A41" s="3">
        <v>39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1.25" customHeight="1">
      <c r="A42" s="3">
        <v>40</v>
      </c>
      <c r="B42" s="101" t="s">
        <v>114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34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21" ht="11.25" customHeight="1">
      <c r="A46" s="3">
        <v>44</v>
      </c>
      <c r="B46" s="6"/>
      <c r="C46" s="7"/>
      <c r="D46" s="7"/>
      <c r="E46" s="22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8"/>
      <c r="R46" s="8"/>
      <c r="S46" s="8"/>
      <c r="T46" s="8"/>
      <c r="U46" s="12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3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38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115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50" t="s">
        <v>116</v>
      </c>
      <c r="C58" s="7" t="s">
        <v>117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50" t="s">
        <v>118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50" t="s">
        <v>119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50" t="s">
        <v>120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1" t="s">
        <v>121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335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333</v>
      </c>
    </row>
    <row r="64" ht="11.25" customHeight="1">
      <c r="A64" s="3"/>
    </row>
    <row r="65" ht="11.25" customHeight="1">
      <c r="A65" s="3"/>
    </row>
  </sheetData>
  <mergeCells count="18">
    <mergeCell ref="R7:U7"/>
    <mergeCell ref="B9:U9"/>
    <mergeCell ref="B11:D13"/>
    <mergeCell ref="H11:I11"/>
    <mergeCell ref="H12:I12"/>
    <mergeCell ref="H13:I13"/>
    <mergeCell ref="B1:U2"/>
    <mergeCell ref="R3:U3"/>
    <mergeCell ref="R4:U4"/>
    <mergeCell ref="R5:U5"/>
    <mergeCell ref="B15:U15"/>
    <mergeCell ref="K26:L26"/>
    <mergeCell ref="B42:U42"/>
    <mergeCell ref="B28:U28"/>
    <mergeCell ref="Q37:R37"/>
    <mergeCell ref="Q40:R40"/>
    <mergeCell ref="D37:E37"/>
    <mergeCell ref="D40:E40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65"/>
  <sheetViews>
    <sheetView zoomScaleSheetLayoutView="100" workbookViewId="0" topLeftCell="A1">
      <selection activeCell="O8" sqref="O8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88" t="s">
        <v>147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2:21" ht="11.2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75"/>
    </row>
    <row r="3" spans="1:21" ht="11.25" customHeight="1">
      <c r="A3" s="3">
        <v>1</v>
      </c>
      <c r="B3" s="4" t="s">
        <v>148</v>
      </c>
      <c r="C3" s="5"/>
      <c r="D3" s="5"/>
      <c r="E3" s="21" t="s">
        <v>200</v>
      </c>
      <c r="F3" s="5"/>
      <c r="G3" s="5"/>
      <c r="H3" s="5"/>
      <c r="I3" s="5"/>
      <c r="J3" s="5"/>
      <c r="K3" s="5"/>
      <c r="L3" s="5"/>
      <c r="M3" s="5"/>
      <c r="N3" s="5"/>
      <c r="O3" s="5"/>
      <c r="P3" s="20" t="s">
        <v>221</v>
      </c>
      <c r="Q3" s="11"/>
      <c r="R3" s="93" t="s">
        <v>220</v>
      </c>
      <c r="S3" s="93"/>
      <c r="T3" s="93"/>
      <c r="U3" s="94"/>
    </row>
    <row r="4" spans="1:21" ht="11.25" customHeight="1">
      <c r="A4" s="3">
        <v>2</v>
      </c>
      <c r="B4" s="6" t="s">
        <v>149</v>
      </c>
      <c r="C4" s="7"/>
      <c r="D4" s="7"/>
      <c r="E4" s="22" t="s">
        <v>201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150</v>
      </c>
      <c r="Q4" s="7"/>
      <c r="R4" s="95" t="s">
        <v>151</v>
      </c>
      <c r="S4" s="95"/>
      <c r="T4" s="95"/>
      <c r="U4" s="96"/>
    </row>
    <row r="5" spans="1:21" ht="11.25" customHeight="1">
      <c r="A5" s="3">
        <v>3</v>
      </c>
      <c r="B5" s="6" t="s">
        <v>152</v>
      </c>
      <c r="C5" s="7"/>
      <c r="D5" s="7"/>
      <c r="E5" s="22" t="s">
        <v>202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153</v>
      </c>
      <c r="Q5" s="7"/>
      <c r="R5" s="87" t="s">
        <v>332</v>
      </c>
      <c r="S5" s="87"/>
      <c r="T5" s="87"/>
      <c r="U5" s="97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154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155</v>
      </c>
      <c r="C7" s="11"/>
      <c r="D7" s="11"/>
      <c r="E7" s="20" t="s">
        <v>156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157</v>
      </c>
      <c r="Q7" s="11"/>
      <c r="R7" s="76" t="s">
        <v>158</v>
      </c>
      <c r="S7" s="76"/>
      <c r="T7" s="76"/>
      <c r="U7" s="77"/>
    </row>
    <row r="8" spans="1:21" ht="11.25" customHeight="1">
      <c r="A8" s="3">
        <v>6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78" t="s">
        <v>159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3" ht="11.25" customHeight="1">
      <c r="A10" s="3">
        <v>8</v>
      </c>
      <c r="B10" s="4" t="s">
        <v>160</v>
      </c>
      <c r="C10" s="5"/>
      <c r="D10" s="5"/>
      <c r="E10" s="21" t="s">
        <v>161</v>
      </c>
      <c r="F10" s="5"/>
      <c r="G10" s="5"/>
      <c r="H10" s="5"/>
      <c r="I10" s="5"/>
      <c r="J10" s="5"/>
      <c r="K10" s="5"/>
      <c r="L10" s="107" t="s">
        <v>207</v>
      </c>
      <c r="M10" s="108"/>
      <c r="N10" s="11" t="s">
        <v>208</v>
      </c>
      <c r="O10" s="5"/>
      <c r="P10" s="5"/>
      <c r="Q10" s="5"/>
      <c r="R10" s="5" t="s">
        <v>26</v>
      </c>
      <c r="S10" s="5"/>
      <c r="T10" s="5"/>
      <c r="U10" s="13"/>
      <c r="W10" s="32" t="s">
        <v>162</v>
      </c>
    </row>
    <row r="11" spans="1:23" ht="11.25" customHeight="1">
      <c r="A11" s="3">
        <v>9</v>
      </c>
      <c r="B11" s="81" t="s">
        <v>163</v>
      </c>
      <c r="C11" s="82"/>
      <c r="D11" s="82"/>
      <c r="E11" s="7" t="s">
        <v>164</v>
      </c>
      <c r="F11" s="7"/>
      <c r="G11" s="30" t="s">
        <v>165</v>
      </c>
      <c r="H11" s="87">
        <v>228</v>
      </c>
      <c r="I11" s="87"/>
      <c r="J11" s="7" t="s">
        <v>24</v>
      </c>
      <c r="K11" s="7"/>
      <c r="L11" s="85"/>
      <c r="M11" s="86"/>
      <c r="N11" s="7" t="s">
        <v>209</v>
      </c>
      <c r="O11" s="7"/>
      <c r="P11" s="7"/>
      <c r="Q11" s="7"/>
      <c r="R11" s="7" t="s">
        <v>28</v>
      </c>
      <c r="S11" s="7"/>
      <c r="T11" s="7"/>
      <c r="U11" s="1"/>
      <c r="W11" s="2" t="s">
        <v>27</v>
      </c>
    </row>
    <row r="12" spans="1:21" ht="11.25" customHeight="1">
      <c r="A12" s="3">
        <v>10</v>
      </c>
      <c r="B12" s="83"/>
      <c r="C12" s="84"/>
      <c r="D12" s="84"/>
      <c r="E12" s="7" t="s">
        <v>166</v>
      </c>
      <c r="F12" s="7"/>
      <c r="G12" s="30" t="s">
        <v>167</v>
      </c>
      <c r="H12" s="87">
        <v>275</v>
      </c>
      <c r="I12" s="87"/>
      <c r="J12" s="7" t="str">
        <f>J11</f>
        <v>℃</v>
      </c>
      <c r="K12" s="7"/>
      <c r="L12" s="81" t="s">
        <v>206</v>
      </c>
      <c r="M12" s="82"/>
      <c r="N12" s="7" t="s">
        <v>210</v>
      </c>
      <c r="O12" s="7"/>
      <c r="P12" s="7"/>
      <c r="Q12" s="7"/>
      <c r="R12" s="7" t="s">
        <v>212</v>
      </c>
      <c r="S12" s="7"/>
      <c r="T12" s="7"/>
      <c r="U12" s="1"/>
    </row>
    <row r="13" spans="1:23" ht="11.25" customHeight="1">
      <c r="A13" s="3">
        <v>11</v>
      </c>
      <c r="B13" s="85"/>
      <c r="C13" s="86"/>
      <c r="D13" s="86"/>
      <c r="E13" s="7" t="s">
        <v>168</v>
      </c>
      <c r="F13" s="7"/>
      <c r="G13" s="30" t="s">
        <v>169</v>
      </c>
      <c r="H13" s="87">
        <v>0</v>
      </c>
      <c r="I13" s="87"/>
      <c r="J13" s="7" t="str">
        <f>J11</f>
        <v>℃</v>
      </c>
      <c r="K13" s="7"/>
      <c r="L13" s="85"/>
      <c r="M13" s="86"/>
      <c r="N13" s="7" t="str">
        <f>N11</f>
        <v>Material Designation</v>
      </c>
      <c r="O13" s="7"/>
      <c r="P13" s="7"/>
      <c r="Q13" s="7"/>
      <c r="R13" s="7" t="s">
        <v>213</v>
      </c>
      <c r="S13" s="7"/>
      <c r="T13" s="7"/>
      <c r="U13" s="1"/>
      <c r="W13" s="2" t="s">
        <v>211</v>
      </c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33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78" t="s">
        <v>170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21" ht="11.25" customHeight="1">
      <c r="A16" s="3">
        <v>14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ht="11.25" customHeight="1">
      <c r="A17" s="3">
        <v>15</v>
      </c>
      <c r="B17" s="3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S17" s="19"/>
      <c r="T17" s="19"/>
      <c r="U17" s="38"/>
    </row>
    <row r="18" spans="1:21" ht="11.25" customHeight="1">
      <c r="A18" s="3">
        <v>16</v>
      </c>
      <c r="B18" s="3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8"/>
    </row>
    <row r="19" spans="1:21" ht="11.25" customHeight="1">
      <c r="A19" s="3">
        <v>17</v>
      </c>
      <c r="B19" s="37"/>
      <c r="C19" s="19"/>
      <c r="D19" s="19"/>
      <c r="E19" s="19"/>
      <c r="F19" s="19"/>
      <c r="G19" s="19"/>
      <c r="H19" s="19"/>
      <c r="I19" s="64" t="str">
        <f>L10</f>
        <v> Vessel</v>
      </c>
      <c r="J19" s="19"/>
      <c r="K19" s="19"/>
      <c r="L19" s="19"/>
      <c r="M19" s="19"/>
      <c r="N19" s="19"/>
      <c r="O19" s="19"/>
      <c r="P19" s="19"/>
      <c r="Q19" s="19"/>
      <c r="S19" s="19"/>
      <c r="T19" s="19"/>
      <c r="U19" s="38"/>
    </row>
    <row r="20" spans="1:21" ht="11.25" customHeight="1">
      <c r="A20" s="3">
        <v>18</v>
      </c>
      <c r="B20" s="37"/>
      <c r="C20" s="19"/>
      <c r="D20" s="19"/>
      <c r="E20" s="19"/>
      <c r="F20" s="19"/>
      <c r="G20" s="19"/>
      <c r="H20" s="19"/>
      <c r="I20" s="19"/>
      <c r="J20" s="19"/>
      <c r="K20" s="19"/>
      <c r="L20" s="43" t="str">
        <f>W24&amp;"  ="</f>
        <v>X  =</v>
      </c>
      <c r="M20" s="100">
        <v>1800</v>
      </c>
      <c r="N20" s="100"/>
      <c r="O20" s="19" t="s">
        <v>172</v>
      </c>
      <c r="P20" s="19"/>
      <c r="Q20" s="19"/>
      <c r="R20" s="19"/>
      <c r="S20" s="19"/>
      <c r="T20" s="19"/>
      <c r="U20" s="38"/>
    </row>
    <row r="21" spans="1:21" ht="11.25" customHeight="1">
      <c r="A21" s="3">
        <v>19</v>
      </c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64" t="s">
        <v>204</v>
      </c>
      <c r="P21" s="19"/>
      <c r="Q21" s="19"/>
      <c r="R21" s="19"/>
      <c r="T21" s="19"/>
      <c r="U21" s="38"/>
    </row>
    <row r="22" spans="1:21" ht="11.25" customHeight="1">
      <c r="A22" s="3">
        <v>20</v>
      </c>
      <c r="B22" s="3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8"/>
    </row>
    <row r="23" spans="1:23" ht="11.25" customHeight="1">
      <c r="A23" s="3">
        <v>21</v>
      </c>
      <c r="B23" s="37"/>
      <c r="C23" s="19"/>
      <c r="D23" s="19"/>
      <c r="E23" s="19"/>
      <c r="F23" s="19"/>
      <c r="G23" s="64" t="str">
        <f>L12</f>
        <v> Nozzle</v>
      </c>
      <c r="H23" s="19"/>
      <c r="I23" s="19"/>
      <c r="J23" s="19"/>
      <c r="K23" s="19"/>
      <c r="L23" s="65" t="str">
        <f>W38&amp;" Coordinate"</f>
        <v>Displacement Coordinate</v>
      </c>
      <c r="M23" s="19"/>
      <c r="N23" s="19"/>
      <c r="O23" s="106" t="str">
        <f>W25</f>
        <v>Z</v>
      </c>
      <c r="P23" s="106"/>
      <c r="Q23" s="19"/>
      <c r="R23" s="19"/>
      <c r="S23" s="19"/>
      <c r="T23" s="19"/>
      <c r="U23" s="38"/>
      <c r="W23" s="32" t="s">
        <v>171</v>
      </c>
    </row>
    <row r="24" spans="1:23" ht="11.25" customHeight="1">
      <c r="A24" s="3">
        <v>22</v>
      </c>
      <c r="B24" s="37"/>
      <c r="C24" s="19"/>
      <c r="D24" s="19"/>
      <c r="E24" s="19"/>
      <c r="F24" s="19"/>
      <c r="G24" s="19"/>
      <c r="H24" s="19"/>
      <c r="I24" s="19"/>
      <c r="N24" s="19"/>
      <c r="O24" s="100">
        <v>13000</v>
      </c>
      <c r="P24" s="100"/>
      <c r="Q24" s="19"/>
      <c r="R24" s="19"/>
      <c r="S24" s="19"/>
      <c r="T24" s="19"/>
      <c r="U24" s="38"/>
      <c r="W24" s="48" t="s">
        <v>218</v>
      </c>
    </row>
    <row r="25" spans="1:23" ht="11.25" customHeight="1">
      <c r="A25" s="3">
        <v>23</v>
      </c>
      <c r="B25" s="37"/>
      <c r="C25" s="19"/>
      <c r="D25" s="19"/>
      <c r="E25" s="19"/>
      <c r="F25" s="19"/>
      <c r="G25" s="19"/>
      <c r="H25" s="19"/>
      <c r="I25" s="19"/>
      <c r="J25" s="19"/>
      <c r="K25" s="19"/>
      <c r="L25" s="67" t="s">
        <v>215</v>
      </c>
      <c r="M25" s="19"/>
      <c r="N25" s="19"/>
      <c r="O25" s="19"/>
      <c r="P25" s="19"/>
      <c r="Q25" s="19"/>
      <c r="R25" s="19"/>
      <c r="S25" s="19"/>
      <c r="T25" s="19"/>
      <c r="U25" s="38"/>
      <c r="W25" s="48" t="s">
        <v>219</v>
      </c>
    </row>
    <row r="26" spans="1:21" ht="11.25" customHeight="1">
      <c r="A26" s="3">
        <v>24</v>
      </c>
      <c r="B26" s="37"/>
      <c r="C26" s="19"/>
      <c r="D26" s="19"/>
      <c r="E26" s="24"/>
      <c r="F26" s="19"/>
      <c r="G26" s="43" t="s">
        <v>203</v>
      </c>
      <c r="H26" s="19"/>
      <c r="I26" s="19"/>
      <c r="J26" s="19"/>
      <c r="K26" s="43" t="s">
        <v>214</v>
      </c>
      <c r="L26" s="19"/>
      <c r="M26" s="64" t="s">
        <v>205</v>
      </c>
      <c r="N26" s="19"/>
      <c r="O26" s="19"/>
      <c r="P26" s="19"/>
      <c r="Q26" s="19"/>
      <c r="R26" s="19"/>
      <c r="S26" s="19"/>
      <c r="T26" s="19"/>
      <c r="U26" s="38"/>
    </row>
    <row r="27" spans="1:21" ht="11.25" customHeight="1">
      <c r="A27" s="3">
        <v>25</v>
      </c>
      <c r="B27" s="3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8"/>
    </row>
    <row r="28" spans="1:21" ht="11.25" customHeight="1">
      <c r="A28" s="3">
        <v>26</v>
      </c>
      <c r="B28" s="6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3"/>
    </row>
    <row r="29" spans="1:21" ht="11.25" customHeight="1">
      <c r="A29" s="3">
        <v>27</v>
      </c>
      <c r="B29" s="78" t="s">
        <v>173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0"/>
    </row>
    <row r="30" spans="1:23" ht="11.25" customHeight="1">
      <c r="A30" s="3">
        <v>28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5"/>
      <c r="W30" s="32" t="s">
        <v>174</v>
      </c>
    </row>
    <row r="31" spans="1:21" ht="11.25" customHeight="1">
      <c r="A31" s="3">
        <v>29</v>
      </c>
      <c r="B31" s="6" t="s">
        <v>175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41" ht="11.25" customHeight="1">
      <c r="A32" s="3">
        <v>30</v>
      </c>
      <c r="B32" s="42" t="s">
        <v>176</v>
      </c>
      <c r="C32" s="7" t="s">
        <v>177</v>
      </c>
      <c r="D32" s="7" t="str">
        <f>W24&amp;" or "&amp;W25&amp;"  x  (  "&amp;K34&amp;"  x  "&amp;K35&amp;"  -  "&amp;K36&amp;"  x  "&amp;K37&amp;"  )"</f>
        <v>X or Z  x  (  αT  x  T  -  αTa  x  Ta  )</v>
      </c>
      <c r="E32" s="7"/>
      <c r="F32" s="7"/>
      <c r="G32" s="7"/>
      <c r="H32" s="7"/>
      <c r="I32" s="7"/>
      <c r="J32" s="40" t="s">
        <v>178</v>
      </c>
      <c r="K32" s="39" t="str">
        <f>B32</f>
        <v>Δ</v>
      </c>
      <c r="L32" s="7" t="str">
        <f>W38</f>
        <v>Displacement</v>
      </c>
      <c r="M32" s="7"/>
      <c r="N32" s="7"/>
      <c r="O32" s="7"/>
      <c r="P32" s="7"/>
      <c r="Q32" s="7"/>
      <c r="R32" s="7" t="s">
        <v>172</v>
      </c>
      <c r="S32" s="7"/>
      <c r="T32" s="7"/>
      <c r="U32" s="1"/>
      <c r="W32" s="42" t="s">
        <v>176</v>
      </c>
      <c r="X32" s="7" t="s">
        <v>177</v>
      </c>
      <c r="Y32" s="7" t="str">
        <f>W24&amp;"  x  "&amp;AE34&amp;"  x  (  "&amp;AE35&amp;"  -  "&amp;AE36&amp;"  )"</f>
        <v>X  x  αm  x  (  T  -  Ta  )</v>
      </c>
      <c r="Z32" s="7"/>
      <c r="AA32" s="7"/>
      <c r="AB32" s="7"/>
      <c r="AC32" s="7"/>
      <c r="AD32" s="40" t="s">
        <v>178</v>
      </c>
      <c r="AE32" s="39" t="str">
        <f>W32</f>
        <v>Δ</v>
      </c>
      <c r="AF32" s="7" t="s">
        <v>179</v>
      </c>
      <c r="AG32" s="7"/>
      <c r="AH32" s="7"/>
      <c r="AI32" s="7"/>
      <c r="AJ32" s="7"/>
      <c r="AK32" s="7"/>
      <c r="AL32" s="7"/>
      <c r="AM32" s="7"/>
      <c r="AN32" s="7" t="s">
        <v>172</v>
      </c>
      <c r="AO32" s="7"/>
    </row>
    <row r="33" spans="1:4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30" t="str">
        <f>W24&amp;" or "&amp;W25</f>
        <v>X or Z</v>
      </c>
      <c r="L33" s="7" t="s">
        <v>216</v>
      </c>
      <c r="M33" s="7"/>
      <c r="N33" s="7"/>
      <c r="O33" s="7"/>
      <c r="P33" s="7"/>
      <c r="Q33" s="7"/>
      <c r="R33" s="7" t="str">
        <f>R32</f>
        <v>mm</v>
      </c>
      <c r="S33" s="7"/>
      <c r="T33" s="7"/>
      <c r="U33" s="1"/>
      <c r="W33" s="6"/>
      <c r="X33" s="7"/>
      <c r="Y33" s="7"/>
      <c r="Z33" s="7"/>
      <c r="AA33" s="7"/>
      <c r="AB33" s="7"/>
      <c r="AC33" s="7"/>
      <c r="AD33" s="7"/>
      <c r="AE33" s="30" t="str">
        <f>W24</f>
        <v>X</v>
      </c>
      <c r="AF33" s="7" t="s">
        <v>180</v>
      </c>
      <c r="AG33" s="7"/>
      <c r="AH33" s="7"/>
      <c r="AI33" s="7"/>
      <c r="AJ33" s="7"/>
      <c r="AK33" s="7"/>
      <c r="AL33" s="7"/>
      <c r="AM33" s="7"/>
      <c r="AN33" s="7" t="str">
        <f>AN32</f>
        <v>mm</v>
      </c>
      <c r="AO33" s="7"/>
    </row>
    <row r="34" spans="1:4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39" t="s">
        <v>181</v>
      </c>
      <c r="L34" s="7" t="str">
        <f>"Mean Coeff. of Thermal Expansion at "&amp;K35</f>
        <v>Mean Coeff. of Thermal Expansion at T</v>
      </c>
      <c r="M34" s="7"/>
      <c r="N34" s="7"/>
      <c r="O34" s="7"/>
      <c r="P34" s="7"/>
      <c r="Q34" s="7"/>
      <c r="R34" s="7" t="str">
        <f>"mm / mm / "&amp;R35&amp;" x 10^6"</f>
        <v>mm / mm / ℃ x 10^6</v>
      </c>
      <c r="S34" s="7"/>
      <c r="T34" s="7"/>
      <c r="U34" s="1"/>
      <c r="W34" s="6"/>
      <c r="X34" s="7"/>
      <c r="Y34" s="7"/>
      <c r="Z34" s="7"/>
      <c r="AA34" s="7"/>
      <c r="AB34" s="7"/>
      <c r="AC34" s="7"/>
      <c r="AD34" s="7"/>
      <c r="AE34" s="39" t="s">
        <v>182</v>
      </c>
      <c r="AF34" s="7" t="s">
        <v>183</v>
      </c>
      <c r="AG34" s="7"/>
      <c r="AH34" s="7"/>
      <c r="AI34" s="7"/>
      <c r="AJ34" s="7"/>
      <c r="AK34" s="7"/>
      <c r="AL34" s="7"/>
      <c r="AM34" s="7"/>
      <c r="AN34" s="7" t="str">
        <f>"mm / mm / "&amp;AN35&amp;" x 10^6"</f>
        <v>mm / mm / ℃ x 10^6</v>
      </c>
      <c r="AO34" s="7"/>
    </row>
    <row r="35" spans="1:4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30" t="s">
        <v>184</v>
      </c>
      <c r="L35" s="7" t="str">
        <f>E11&amp;" or "&amp;E12&amp;" Temperature"</f>
        <v>Oper. or Design Temperature</v>
      </c>
      <c r="M35" s="7"/>
      <c r="N35" s="7"/>
      <c r="O35" s="7"/>
      <c r="P35" s="7"/>
      <c r="Q35" s="7"/>
      <c r="R35" s="41" t="str">
        <f>J11</f>
        <v>℃</v>
      </c>
      <c r="S35" s="7"/>
      <c r="T35" s="7"/>
      <c r="U35" s="1"/>
      <c r="W35" s="6"/>
      <c r="X35" s="7"/>
      <c r="Y35" s="7"/>
      <c r="Z35" s="7"/>
      <c r="AA35" s="7"/>
      <c r="AB35" s="7"/>
      <c r="AC35" s="7"/>
      <c r="AD35" s="7"/>
      <c r="AE35" s="30" t="s">
        <v>184</v>
      </c>
      <c r="AF35" s="7" t="str">
        <f>E11&amp;" or "&amp;E12&amp;" Temperature"</f>
        <v>Oper. or Design Temperature</v>
      </c>
      <c r="AG35" s="7"/>
      <c r="AH35" s="7"/>
      <c r="AI35" s="7"/>
      <c r="AJ35" s="7"/>
      <c r="AK35" s="7"/>
      <c r="AL35" s="7"/>
      <c r="AM35" s="7"/>
      <c r="AN35" s="41" t="str">
        <f>J11</f>
        <v>℃</v>
      </c>
      <c r="AO35" s="7"/>
    </row>
    <row r="36" spans="1:4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39" t="s">
        <v>185</v>
      </c>
      <c r="L36" s="7" t="str">
        <f>"Mean Coeff. of Thermal Expansion at "&amp;K37</f>
        <v>Mean Coeff. of Thermal Expansion at Ta</v>
      </c>
      <c r="M36" s="7"/>
      <c r="N36" s="7"/>
      <c r="O36" s="7"/>
      <c r="P36" s="7"/>
      <c r="Q36" s="7"/>
      <c r="R36" s="7" t="str">
        <f>"mm / mm / "&amp;R35&amp;" x 10^6"</f>
        <v>mm / mm / ℃ x 10^6</v>
      </c>
      <c r="S36" s="7"/>
      <c r="T36" s="7"/>
      <c r="U36" s="1"/>
      <c r="W36" s="6"/>
      <c r="X36" s="7"/>
      <c r="Y36" s="7"/>
      <c r="Z36" s="7"/>
      <c r="AA36" s="7"/>
      <c r="AB36" s="7"/>
      <c r="AC36" s="7"/>
      <c r="AD36" s="7"/>
      <c r="AE36" s="30" t="str">
        <f>G13</f>
        <v>Ta</v>
      </c>
      <c r="AF36" s="7" t="str">
        <f>E13&amp;" Temperature"</f>
        <v>Ambient Temperature</v>
      </c>
      <c r="AG36" s="7"/>
      <c r="AH36" s="7"/>
      <c r="AI36" s="7"/>
      <c r="AJ36" s="7"/>
      <c r="AK36" s="7"/>
      <c r="AL36" s="7"/>
      <c r="AM36" s="7"/>
      <c r="AN36" s="7" t="str">
        <f>AN35</f>
        <v>℃</v>
      </c>
      <c r="AO36" s="7"/>
    </row>
    <row r="37" spans="1:41" ht="11.25" customHeight="1">
      <c r="A37" s="3">
        <v>35</v>
      </c>
      <c r="B37" s="6"/>
      <c r="C37" s="7"/>
      <c r="D37" s="7"/>
      <c r="E37" s="7"/>
      <c r="F37" s="7"/>
      <c r="G37" s="7"/>
      <c r="H37" s="7"/>
      <c r="I37" s="7"/>
      <c r="J37" s="7"/>
      <c r="K37" s="30" t="str">
        <f>G13</f>
        <v>Ta</v>
      </c>
      <c r="L37" s="7" t="str">
        <f>E13&amp;" Temperature"</f>
        <v>Ambient Temperature</v>
      </c>
      <c r="M37" s="7"/>
      <c r="N37" s="7"/>
      <c r="O37" s="7"/>
      <c r="P37" s="7"/>
      <c r="Q37" s="7"/>
      <c r="R37" s="7" t="str">
        <f>R35</f>
        <v>℃</v>
      </c>
      <c r="S37" s="7"/>
      <c r="T37" s="7"/>
      <c r="U37" s="1"/>
      <c r="W37" s="8"/>
      <c r="X37" s="8"/>
      <c r="Y37" s="8"/>
      <c r="Z37" s="8"/>
      <c r="AA37" s="8"/>
      <c r="AB37" s="8"/>
      <c r="AC37" s="8"/>
      <c r="AD37" s="8"/>
      <c r="AE37" s="8"/>
      <c r="AN37" s="8"/>
      <c r="AO37" s="8"/>
    </row>
    <row r="38" spans="1:23" ht="11.25" customHeight="1">
      <c r="A38" s="3">
        <v>36</v>
      </c>
      <c r="B38" s="44" t="str">
        <f>" "&amp;W38&amp;" of the Point, "&amp;O21&amp;" in the direction, "&amp;M26&amp;", relative to "&amp;K26&amp;"."</f>
        <v> Displacement of the Point, " A " in the direction, " X ", relative to Origin.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  <c r="W38" s="66" t="s">
        <v>217</v>
      </c>
    </row>
    <row r="39" spans="1:28" ht="11.25" customHeight="1">
      <c r="A39" s="3">
        <v>37</v>
      </c>
      <c r="B39" s="68" t="str">
        <f>" "&amp;L32&amp;"  at  "&amp;G11</f>
        <v> Displacement  at  To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  <c r="AB39" s="55" t="str">
        <f>AE34</f>
        <v>αm</v>
      </c>
    </row>
    <row r="40" spans="1:33" ht="11.25" customHeight="1">
      <c r="A40" s="3">
        <v>38</v>
      </c>
      <c r="B40" s="45" t="str">
        <f>B32&amp;"o"</f>
        <v>Δo</v>
      </c>
      <c r="C40" s="7" t="s">
        <v>177</v>
      </c>
      <c r="D40" s="105">
        <f>M20</f>
        <v>1800</v>
      </c>
      <c r="E40" s="105"/>
      <c r="F40" s="31" t="s">
        <v>186</v>
      </c>
      <c r="G40" s="46">
        <f>alphaTEMA(mindex(R11,40),I40,R35)*IF(R35&lt;&gt;"℉",1,5/9)</f>
        <v>12.93264</v>
      </c>
      <c r="H40" s="31" t="s">
        <v>187</v>
      </c>
      <c r="I40" s="46">
        <f>H11</f>
        <v>228</v>
      </c>
      <c r="J40" s="31" t="s">
        <v>188</v>
      </c>
      <c r="K40" s="46">
        <f>alphaTEMA(mindex(R11,40),M40,R37)*IF(R37&lt;&gt;"℉",1,5/9)</f>
        <v>11.455199999999996</v>
      </c>
      <c r="L40" s="31" t="s">
        <v>187</v>
      </c>
      <c r="M40" s="46">
        <f>H13</f>
        <v>0</v>
      </c>
      <c r="N40" s="47" t="s">
        <v>189</v>
      </c>
      <c r="O40" s="7"/>
      <c r="P40" s="31" t="s">
        <v>177</v>
      </c>
      <c r="Q40" s="104">
        <f>D40*(G40*I40-K40*M40)/10^6</f>
        <v>5.307555456</v>
      </c>
      <c r="R40" s="104"/>
      <c r="S40" s="49" t="str">
        <f>R32</f>
        <v>mm</v>
      </c>
      <c r="T40" s="7"/>
      <c r="U40" s="1"/>
      <c r="W40" s="53">
        <f>Y40*AB40*(AD40-AF40)/10^6</f>
        <v>5.0043847679999995</v>
      </c>
      <c r="X40" s="3" t="s">
        <v>190</v>
      </c>
      <c r="Y40" s="98">
        <f>D40</f>
        <v>1800</v>
      </c>
      <c r="Z40" s="99"/>
      <c r="AA40" s="3" t="s">
        <v>187</v>
      </c>
      <c r="AB40" s="54">
        <f>alphaTEMA(mindex(R11,40),(AD40+AF40)/2,AN35)*IF(AN35&lt;&gt;"℉",1,5/9)</f>
        <v>12.193919999999999</v>
      </c>
      <c r="AC40" s="3" t="s">
        <v>191</v>
      </c>
      <c r="AD40" s="3">
        <f>I40</f>
        <v>228</v>
      </c>
      <c r="AE40" s="3" t="s">
        <v>188</v>
      </c>
      <c r="AF40" s="3">
        <f>M40</f>
        <v>0</v>
      </c>
      <c r="AG40" s="52" t="str">
        <f>N40</f>
        <v>)  /  10^6</v>
      </c>
    </row>
    <row r="41" spans="1:21" ht="11.25" customHeight="1">
      <c r="A41" s="3">
        <v>39</v>
      </c>
      <c r="B41" s="68" t="str">
        <f>" "&amp;L32&amp;"  at  "&amp;G12</f>
        <v> Displacement  at  Td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33" ht="11.25" customHeight="1">
      <c r="A42" s="3">
        <v>40</v>
      </c>
      <c r="B42" s="45" t="str">
        <f>B32&amp;"d"</f>
        <v>Δd</v>
      </c>
      <c r="C42" s="7" t="s">
        <v>177</v>
      </c>
      <c r="D42" s="105">
        <f>D40</f>
        <v>1800</v>
      </c>
      <c r="E42" s="105"/>
      <c r="F42" s="31" t="s">
        <v>186</v>
      </c>
      <c r="G42" s="46">
        <f>alphaTEMA(mindex(R11,40),I42,R35)*IF(R35&lt;&gt;"℉",1,5/9)</f>
        <v>13.139999999999999</v>
      </c>
      <c r="H42" s="31" t="s">
        <v>187</v>
      </c>
      <c r="I42" s="46">
        <f>H12</f>
        <v>275</v>
      </c>
      <c r="J42" s="31" t="s">
        <v>188</v>
      </c>
      <c r="K42" s="46">
        <f>alphaTEMA(mindex(R11,40),M42,R37)*IF(R37&lt;&gt;"℉",1,5/9)</f>
        <v>11.455199999999996</v>
      </c>
      <c r="L42" s="31" t="s">
        <v>187</v>
      </c>
      <c r="M42" s="46">
        <f>M40</f>
        <v>0</v>
      </c>
      <c r="N42" s="47" t="s">
        <v>189</v>
      </c>
      <c r="O42" s="7"/>
      <c r="P42" s="31" t="s">
        <v>177</v>
      </c>
      <c r="Q42" s="104">
        <f>D42*(G42*I42-K42*M42)/10^6</f>
        <v>6.504299999999999</v>
      </c>
      <c r="R42" s="104"/>
      <c r="S42" s="49" t="str">
        <f>R32</f>
        <v>mm</v>
      </c>
      <c r="T42" s="7"/>
      <c r="U42" s="1"/>
      <c r="W42" s="53">
        <f>Y42*AB42*(AD42-AF42)/10^6</f>
        <v>6.111369</v>
      </c>
      <c r="X42" s="3" t="s">
        <v>190</v>
      </c>
      <c r="Y42" s="98">
        <f>D42</f>
        <v>1800</v>
      </c>
      <c r="Z42" s="99"/>
      <c r="AA42" s="3" t="s">
        <v>187</v>
      </c>
      <c r="AB42" s="54">
        <f>alphaTEMA(mindex(R11,40),(AD42+AF42)/2,AN35)*IF(AN35&lt;&gt;"℉",1,5/9)</f>
        <v>12.3462</v>
      </c>
      <c r="AC42" s="3" t="s">
        <v>191</v>
      </c>
      <c r="AD42" s="3">
        <f>I42</f>
        <v>275</v>
      </c>
      <c r="AE42" s="3" t="s">
        <v>188</v>
      </c>
      <c r="AF42" s="3">
        <f>M42</f>
        <v>0</v>
      </c>
      <c r="AG42" s="52" t="str">
        <f>N42</f>
        <v>)  /  10^6</v>
      </c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3" ht="11.25" customHeight="1">
      <c r="A44" s="3">
        <v>42</v>
      </c>
      <c r="B44" s="44" t="str">
        <f>" "&amp;W44&amp;" of the Point, "&amp;O21&amp;" in the direction, "&amp;L25&amp;", relative to "&amp;K26&amp;"."</f>
        <v> Displacement of the Point, " A " in the direction, " Z ", relative to Origin.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  <c r="W44" s="53" t="str">
        <f>W38</f>
        <v>Displacement</v>
      </c>
    </row>
    <row r="45" spans="1:28" ht="11.25" customHeight="1">
      <c r="A45" s="3">
        <v>43</v>
      </c>
      <c r="B45" s="68" t="str">
        <f>" "&amp;L32&amp;"  at  "&amp;G11</f>
        <v> Displacement  at  To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  <c r="AB45" s="55" t="str">
        <f>AE40</f>
        <v>-</v>
      </c>
    </row>
    <row r="46" spans="1:33" ht="11.25" customHeight="1">
      <c r="A46" s="3">
        <v>44</v>
      </c>
      <c r="B46" s="45" t="str">
        <f>B32&amp;"o"</f>
        <v>Δo</v>
      </c>
      <c r="C46" s="7" t="s">
        <v>177</v>
      </c>
      <c r="D46" s="105">
        <f>O24</f>
        <v>13000</v>
      </c>
      <c r="E46" s="105"/>
      <c r="F46" s="31" t="s">
        <v>186</v>
      </c>
      <c r="G46" s="46">
        <f>alphaTEMA(mindex(R13,40),I46,R35)*IF(R35&lt;&gt;"℉",1,5/9)</f>
        <v>12.93264</v>
      </c>
      <c r="H46" s="31" t="s">
        <v>187</v>
      </c>
      <c r="I46" s="46">
        <f>H11</f>
        <v>228</v>
      </c>
      <c r="J46" s="31" t="s">
        <v>188</v>
      </c>
      <c r="K46" s="46">
        <f>alphaTEMA(mindex(R13,40),M46,R37)*IF(R37&lt;&gt;"℉",1,5/9)</f>
        <v>11.455199999999996</v>
      </c>
      <c r="L46" s="31" t="s">
        <v>187</v>
      </c>
      <c r="M46" s="46">
        <f>H13</f>
        <v>0</v>
      </c>
      <c r="N46" s="47" t="s">
        <v>189</v>
      </c>
      <c r="O46" s="7"/>
      <c r="P46" s="31" t="s">
        <v>177</v>
      </c>
      <c r="Q46" s="104">
        <f>D46*(G46*I46-K46*M46)/10^6</f>
        <v>38.33234496</v>
      </c>
      <c r="R46" s="104"/>
      <c r="S46" s="49">
        <f>R38</f>
        <v>0</v>
      </c>
      <c r="T46" s="7"/>
      <c r="U46" s="1"/>
      <c r="W46" s="53">
        <f>Y46*AB46*(AD46-AF46)/10^6</f>
        <v>36.142778879999995</v>
      </c>
      <c r="X46" s="3" t="s">
        <v>190</v>
      </c>
      <c r="Y46" s="98">
        <f>D46</f>
        <v>13000</v>
      </c>
      <c r="Z46" s="99"/>
      <c r="AA46" s="3" t="s">
        <v>187</v>
      </c>
      <c r="AB46" s="54">
        <f>alphaTEMA(mindex(R13,40),(AD46+AF46)/2,AN35)*IF(AN35&lt;&gt;"℉",1,5/9)</f>
        <v>12.193919999999999</v>
      </c>
      <c r="AC46" s="3" t="s">
        <v>191</v>
      </c>
      <c r="AD46" s="3">
        <f>I46</f>
        <v>228</v>
      </c>
      <c r="AE46" s="3" t="s">
        <v>188</v>
      </c>
      <c r="AF46" s="3">
        <f>M46</f>
        <v>0</v>
      </c>
      <c r="AG46" s="52" t="str">
        <f>N46</f>
        <v>)  /  10^6</v>
      </c>
    </row>
    <row r="47" spans="1:21" ht="11.25" customHeight="1">
      <c r="A47" s="3">
        <v>45</v>
      </c>
      <c r="B47" s="68" t="str">
        <f>" "&amp;L32&amp;"  at  "&amp;G12</f>
        <v> Displacement  at  Td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33" ht="11.25" customHeight="1">
      <c r="A48" s="3">
        <v>46</v>
      </c>
      <c r="B48" s="45" t="str">
        <f>B32&amp;"d"</f>
        <v>Δd</v>
      </c>
      <c r="C48" s="7" t="s">
        <v>177</v>
      </c>
      <c r="D48" s="105">
        <f>D46</f>
        <v>13000</v>
      </c>
      <c r="E48" s="105"/>
      <c r="F48" s="31" t="s">
        <v>186</v>
      </c>
      <c r="G48" s="46">
        <f>alphaTEMA(mindex(R13,40),I48,R35)*IF(R35&lt;&gt;"℉",1,5/9)</f>
        <v>13.139999999999999</v>
      </c>
      <c r="H48" s="31" t="s">
        <v>187</v>
      </c>
      <c r="I48" s="46">
        <f>H12</f>
        <v>275</v>
      </c>
      <c r="J48" s="31" t="s">
        <v>188</v>
      </c>
      <c r="K48" s="46">
        <f>alphaTEMA(mindex(R13,40),M48,R37)*IF(R37&lt;&gt;"℉",1,5/9)</f>
        <v>11.455199999999996</v>
      </c>
      <c r="L48" s="31" t="s">
        <v>187</v>
      </c>
      <c r="M48" s="46">
        <f>M46</f>
        <v>0</v>
      </c>
      <c r="N48" s="47" t="s">
        <v>189</v>
      </c>
      <c r="O48" s="7"/>
      <c r="P48" s="31" t="s">
        <v>177</v>
      </c>
      <c r="Q48" s="104">
        <f>D48*(G48*I48-K48*M48)/10^6</f>
        <v>46.97549999999999</v>
      </c>
      <c r="R48" s="104"/>
      <c r="S48" s="49">
        <f>R38</f>
        <v>0</v>
      </c>
      <c r="T48" s="7"/>
      <c r="U48" s="1"/>
      <c r="W48" s="53">
        <f>Y48*AB48*(AD48-AF48)/10^6</f>
        <v>44.137665</v>
      </c>
      <c r="X48" s="3" t="s">
        <v>190</v>
      </c>
      <c r="Y48" s="98">
        <f>D48</f>
        <v>13000</v>
      </c>
      <c r="Z48" s="99"/>
      <c r="AA48" s="3" t="s">
        <v>187</v>
      </c>
      <c r="AB48" s="54">
        <f>alphaTEMA(mindex(R13,40),(AD48+AF48)/2,AN35)*IF(AN35&lt;&gt;"℉",1,5/9)</f>
        <v>12.3462</v>
      </c>
      <c r="AC48" s="3" t="s">
        <v>191</v>
      </c>
      <c r="AD48" s="3">
        <f>I48</f>
        <v>275</v>
      </c>
      <c r="AE48" s="3" t="s">
        <v>188</v>
      </c>
      <c r="AF48" s="3">
        <f>M48</f>
        <v>0</v>
      </c>
      <c r="AG48" s="52" t="str">
        <f>N48</f>
        <v>)  /  10^6</v>
      </c>
    </row>
    <row r="49" spans="1:21" ht="11.25" customHeight="1">
      <c r="A49" s="3">
        <v>47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1.25" customHeight="1">
      <c r="A50" s="3">
        <v>48</v>
      </c>
      <c r="B50" s="101" t="s">
        <v>192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3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193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50" t="s">
        <v>194</v>
      </c>
      <c r="C58" s="7" t="s">
        <v>195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50" t="s">
        <v>196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50" t="s">
        <v>197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50" t="s">
        <v>198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1" t="s">
        <v>199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335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333</v>
      </c>
    </row>
    <row r="64" ht="11.25" customHeight="1">
      <c r="A64" s="3"/>
    </row>
    <row r="65" ht="11.25" customHeight="1">
      <c r="A65" s="3"/>
    </row>
  </sheetData>
  <mergeCells count="30">
    <mergeCell ref="R7:U7"/>
    <mergeCell ref="B9:U9"/>
    <mergeCell ref="B11:D13"/>
    <mergeCell ref="H11:I11"/>
    <mergeCell ref="H12:I12"/>
    <mergeCell ref="H13:I13"/>
    <mergeCell ref="L10:M11"/>
    <mergeCell ref="L12:M13"/>
    <mergeCell ref="B1:U2"/>
    <mergeCell ref="R3:U3"/>
    <mergeCell ref="R4:U4"/>
    <mergeCell ref="R5:U5"/>
    <mergeCell ref="Y40:Z40"/>
    <mergeCell ref="Y42:Z42"/>
    <mergeCell ref="B15:U15"/>
    <mergeCell ref="M20:N20"/>
    <mergeCell ref="O24:P24"/>
    <mergeCell ref="O23:P23"/>
    <mergeCell ref="B50:U50"/>
    <mergeCell ref="B29:U29"/>
    <mergeCell ref="Q40:R40"/>
    <mergeCell ref="D42:E42"/>
    <mergeCell ref="Q42:R42"/>
    <mergeCell ref="D40:E40"/>
    <mergeCell ref="D46:E46"/>
    <mergeCell ref="Q46:R46"/>
    <mergeCell ref="Y46:Z46"/>
    <mergeCell ref="D48:E48"/>
    <mergeCell ref="Q48:R48"/>
    <mergeCell ref="Y48:Z48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65"/>
  <sheetViews>
    <sheetView zoomScaleSheetLayoutView="100" workbookViewId="0" topLeftCell="A1">
      <selection activeCell="O8" sqref="O8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88" t="s">
        <v>222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2:21" ht="11.2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75"/>
    </row>
    <row r="3" spans="1:21" ht="11.25" customHeight="1">
      <c r="A3" s="3">
        <v>1</v>
      </c>
      <c r="B3" s="4" t="s">
        <v>223</v>
      </c>
      <c r="C3" s="5"/>
      <c r="D3" s="5"/>
      <c r="E3" s="21" t="s">
        <v>200</v>
      </c>
      <c r="F3" s="5"/>
      <c r="G3" s="5"/>
      <c r="H3" s="5"/>
      <c r="I3" s="5"/>
      <c r="J3" s="5"/>
      <c r="K3" s="5"/>
      <c r="L3" s="5"/>
      <c r="M3" s="5"/>
      <c r="N3" s="5"/>
      <c r="O3" s="5"/>
      <c r="P3" s="20" t="s">
        <v>275</v>
      </c>
      <c r="Q3" s="11"/>
      <c r="R3" s="93" t="s">
        <v>276</v>
      </c>
      <c r="S3" s="93"/>
      <c r="T3" s="93"/>
      <c r="U3" s="94"/>
    </row>
    <row r="4" spans="1:21" ht="11.25" customHeight="1">
      <c r="A4" s="3">
        <v>2</v>
      </c>
      <c r="B4" s="6" t="s">
        <v>224</v>
      </c>
      <c r="C4" s="7"/>
      <c r="D4" s="7"/>
      <c r="E4" s="22" t="s">
        <v>201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225</v>
      </c>
      <c r="Q4" s="7"/>
      <c r="R4" s="95" t="s">
        <v>226</v>
      </c>
      <c r="S4" s="95"/>
      <c r="T4" s="95"/>
      <c r="U4" s="96"/>
    </row>
    <row r="5" spans="1:21" ht="11.25" customHeight="1">
      <c r="A5" s="3">
        <v>3</v>
      </c>
      <c r="B5" s="6" t="s">
        <v>227</v>
      </c>
      <c r="C5" s="7"/>
      <c r="D5" s="7"/>
      <c r="E5" s="22" t="s">
        <v>202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228</v>
      </c>
      <c r="Q5" s="7"/>
      <c r="R5" s="87" t="s">
        <v>332</v>
      </c>
      <c r="S5" s="87"/>
      <c r="T5" s="87"/>
      <c r="U5" s="97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229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230</v>
      </c>
      <c r="C7" s="11"/>
      <c r="D7" s="11"/>
      <c r="E7" s="20" t="s">
        <v>280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231</v>
      </c>
      <c r="Q7" s="11"/>
      <c r="R7" s="76" t="s">
        <v>281</v>
      </c>
      <c r="S7" s="76"/>
      <c r="T7" s="76"/>
      <c r="U7" s="77"/>
    </row>
    <row r="8" spans="1:21" ht="11.25" customHeight="1">
      <c r="A8" s="3">
        <v>6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78" t="s">
        <v>232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3" ht="11.25" customHeight="1">
      <c r="A10" s="3">
        <v>8</v>
      </c>
      <c r="B10" s="4" t="s">
        <v>233</v>
      </c>
      <c r="C10" s="5"/>
      <c r="D10" s="5"/>
      <c r="E10" s="21" t="s">
        <v>234</v>
      </c>
      <c r="F10" s="5"/>
      <c r="G10" s="5"/>
      <c r="H10" s="5"/>
      <c r="I10" s="5"/>
      <c r="J10" s="5"/>
      <c r="K10" s="5"/>
      <c r="L10" s="10" t="s">
        <v>277</v>
      </c>
      <c r="M10" s="5"/>
      <c r="N10" s="5"/>
      <c r="O10" s="5"/>
      <c r="P10" s="5" t="s">
        <v>26</v>
      </c>
      <c r="Q10" s="5"/>
      <c r="R10" s="5"/>
      <c r="S10" s="5"/>
      <c r="T10" s="5"/>
      <c r="U10" s="13"/>
      <c r="W10" s="32" t="s">
        <v>235</v>
      </c>
    </row>
    <row r="11" spans="1:23" ht="11.25" customHeight="1">
      <c r="A11" s="3">
        <v>9</v>
      </c>
      <c r="B11" s="81" t="s">
        <v>236</v>
      </c>
      <c r="C11" s="82"/>
      <c r="D11" s="82"/>
      <c r="E11" s="7" t="s">
        <v>237</v>
      </c>
      <c r="F11" s="7"/>
      <c r="G11" s="30" t="s">
        <v>238</v>
      </c>
      <c r="H11" s="87">
        <v>228</v>
      </c>
      <c r="I11" s="87"/>
      <c r="J11" s="7" t="s">
        <v>24</v>
      </c>
      <c r="K11" s="7"/>
      <c r="L11" s="6" t="s">
        <v>239</v>
      </c>
      <c r="M11" s="7"/>
      <c r="N11" s="7"/>
      <c r="O11" s="7"/>
      <c r="P11" s="7" t="s">
        <v>279</v>
      </c>
      <c r="Q11" s="7"/>
      <c r="R11" s="7"/>
      <c r="S11" s="7"/>
      <c r="T11" s="7"/>
      <c r="U11" s="1"/>
      <c r="W11" s="2" t="s">
        <v>278</v>
      </c>
    </row>
    <row r="12" spans="1:21" ht="11.25" customHeight="1">
      <c r="A12" s="3">
        <v>10</v>
      </c>
      <c r="B12" s="83"/>
      <c r="C12" s="84"/>
      <c r="D12" s="84"/>
      <c r="E12" s="7" t="s">
        <v>240</v>
      </c>
      <c r="F12" s="7"/>
      <c r="G12" s="30" t="s">
        <v>241</v>
      </c>
      <c r="H12" s="87">
        <v>275</v>
      </c>
      <c r="I12" s="87"/>
      <c r="J12" s="7" t="str">
        <f>J11</f>
        <v>℃</v>
      </c>
      <c r="K12" s="7"/>
      <c r="L12" s="6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85"/>
      <c r="C13" s="86"/>
      <c r="D13" s="86"/>
      <c r="E13" s="7" t="s">
        <v>242</v>
      </c>
      <c r="F13" s="7"/>
      <c r="G13" s="30" t="s">
        <v>243</v>
      </c>
      <c r="H13" s="87">
        <v>0</v>
      </c>
      <c r="I13" s="87"/>
      <c r="J13" s="7" t="str">
        <f>J11</f>
        <v>℃</v>
      </c>
      <c r="K13" s="7"/>
      <c r="L13" s="6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33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78" t="s">
        <v>244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21" ht="11.25" customHeight="1">
      <c r="A16" s="3">
        <v>14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ht="11.25" customHeight="1">
      <c r="A17" s="3">
        <v>15</v>
      </c>
      <c r="B17" s="3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8"/>
    </row>
    <row r="18" spans="1:21" ht="11.25" customHeight="1">
      <c r="A18" s="3">
        <v>16</v>
      </c>
      <c r="B18" s="3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8"/>
    </row>
    <row r="19" spans="1:21" ht="11.25" customHeight="1">
      <c r="A19" s="3">
        <v>17</v>
      </c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8"/>
    </row>
    <row r="20" spans="1:21" ht="11.25" customHeight="1">
      <c r="A20" s="3">
        <v>18</v>
      </c>
      <c r="B20" s="3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8"/>
    </row>
    <row r="21" spans="1:21" ht="11.25" customHeight="1">
      <c r="A21" s="3">
        <v>19</v>
      </c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38"/>
    </row>
    <row r="22" spans="1:21" ht="11.25" customHeight="1">
      <c r="A22" s="3">
        <v>20</v>
      </c>
      <c r="B22" s="3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8"/>
    </row>
    <row r="23" spans="1:21" ht="11.25" customHeight="1">
      <c r="A23" s="3">
        <v>21</v>
      </c>
      <c r="B23" s="3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8"/>
    </row>
    <row r="24" spans="1:21" ht="11.25" customHeight="1">
      <c r="A24" s="3">
        <v>22</v>
      </c>
      <c r="B24" s="3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8"/>
    </row>
    <row r="25" spans="1:23" ht="11.25" customHeight="1">
      <c r="A25" s="3">
        <v>23</v>
      </c>
      <c r="B25" s="3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8"/>
      <c r="W25" s="32" t="s">
        <v>245</v>
      </c>
    </row>
    <row r="26" spans="1:23" ht="11.25" customHeight="1">
      <c r="A26" s="3">
        <v>24</v>
      </c>
      <c r="B26" s="37"/>
      <c r="C26" s="19"/>
      <c r="D26" s="19"/>
      <c r="E26" s="19"/>
      <c r="F26" s="19"/>
      <c r="G26" s="19"/>
      <c r="H26" s="19"/>
      <c r="I26" s="19"/>
      <c r="J26" s="43" t="str">
        <f>W26&amp;"  ="</f>
        <v>L  =</v>
      </c>
      <c r="K26" s="100">
        <v>2550</v>
      </c>
      <c r="L26" s="100"/>
      <c r="M26" s="19" t="s">
        <v>246</v>
      </c>
      <c r="N26" s="19"/>
      <c r="O26" s="19"/>
      <c r="P26" s="19"/>
      <c r="Q26" s="19"/>
      <c r="R26" s="19"/>
      <c r="S26" s="19"/>
      <c r="T26" s="19"/>
      <c r="U26" s="38"/>
      <c r="W26" s="48" t="s">
        <v>247</v>
      </c>
    </row>
    <row r="27" spans="1:21" ht="11.25" customHeight="1">
      <c r="A27" s="3">
        <v>25</v>
      </c>
      <c r="B27" s="3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8"/>
    </row>
    <row r="28" spans="1:21" ht="11.25" customHeight="1">
      <c r="A28" s="3">
        <v>26</v>
      </c>
      <c r="B28" s="78" t="s">
        <v>248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</row>
    <row r="29" spans="1:23" ht="11.25" customHeight="1">
      <c r="A29" s="3">
        <v>27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5"/>
      <c r="W29" s="32" t="s">
        <v>249</v>
      </c>
    </row>
    <row r="30" spans="1:21" ht="11.25" customHeight="1">
      <c r="A30" s="3">
        <v>28</v>
      </c>
      <c r="B30" s="6" t="s">
        <v>250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41" ht="11.25" customHeight="1">
      <c r="A31" s="3">
        <v>29</v>
      </c>
      <c r="B31" s="42" t="s">
        <v>251</v>
      </c>
      <c r="C31" s="7" t="s">
        <v>252</v>
      </c>
      <c r="D31" s="7" t="str">
        <f>W26&amp;"  x  (  "&amp;K33&amp;"  x  "&amp;K34&amp;"  -  "&amp;K35&amp;"  x  "&amp;K36&amp;"  )"</f>
        <v>L  x  (  αT  x  T  -  αTa  x  Ta  )</v>
      </c>
      <c r="E31" s="7"/>
      <c r="F31" s="7"/>
      <c r="G31" s="7"/>
      <c r="H31" s="7"/>
      <c r="I31" s="7"/>
      <c r="J31" s="40" t="s">
        <v>253</v>
      </c>
      <c r="K31" s="39" t="str">
        <f>B31</f>
        <v>Δ</v>
      </c>
      <c r="L31" s="7" t="s">
        <v>254</v>
      </c>
      <c r="M31" s="7"/>
      <c r="N31" s="7"/>
      <c r="O31" s="7"/>
      <c r="P31" s="7"/>
      <c r="Q31" s="7"/>
      <c r="R31" s="7" t="s">
        <v>246</v>
      </c>
      <c r="S31" s="7"/>
      <c r="T31" s="7"/>
      <c r="U31" s="1"/>
      <c r="W31" s="42" t="s">
        <v>251</v>
      </c>
      <c r="X31" s="7" t="s">
        <v>252</v>
      </c>
      <c r="Y31" s="7" t="str">
        <f>W26&amp;"  x  "&amp;AE33&amp;"  x  (  "&amp;AE34&amp;"  -  "&amp;AE35&amp;"  )"</f>
        <v>L  x  αm  x  (  T  -  Ta  )</v>
      </c>
      <c r="Z31" s="7"/>
      <c r="AA31" s="7"/>
      <c r="AB31" s="7"/>
      <c r="AC31" s="7"/>
      <c r="AD31" s="40" t="s">
        <v>253</v>
      </c>
      <c r="AE31" s="39" t="str">
        <f>W31</f>
        <v>Δ</v>
      </c>
      <c r="AF31" s="7" t="s">
        <v>254</v>
      </c>
      <c r="AG31" s="7"/>
      <c r="AH31" s="7"/>
      <c r="AI31" s="7"/>
      <c r="AJ31" s="7"/>
      <c r="AK31" s="7"/>
      <c r="AL31" s="7"/>
      <c r="AM31" s="7"/>
      <c r="AN31" s="7" t="s">
        <v>246</v>
      </c>
      <c r="AO31" s="7"/>
    </row>
    <row r="32" spans="1:41" ht="11.25" customHeight="1">
      <c r="A32" s="3">
        <v>30</v>
      </c>
      <c r="B32" s="6"/>
      <c r="C32" s="7"/>
      <c r="D32" s="7"/>
      <c r="E32" s="7"/>
      <c r="F32" s="7"/>
      <c r="G32" s="7"/>
      <c r="H32" s="7"/>
      <c r="I32" s="7"/>
      <c r="J32" s="7"/>
      <c r="K32" s="30" t="str">
        <f>W26</f>
        <v>L</v>
      </c>
      <c r="L32" s="7" t="s">
        <v>255</v>
      </c>
      <c r="M32" s="7"/>
      <c r="N32" s="7"/>
      <c r="O32" s="7"/>
      <c r="P32" s="7"/>
      <c r="Q32" s="7"/>
      <c r="R32" s="7" t="str">
        <f>R31</f>
        <v>mm</v>
      </c>
      <c r="S32" s="7"/>
      <c r="T32" s="7"/>
      <c r="U32" s="1"/>
      <c r="W32" s="6"/>
      <c r="X32" s="7"/>
      <c r="Y32" s="7"/>
      <c r="Z32" s="7"/>
      <c r="AA32" s="7"/>
      <c r="AB32" s="7"/>
      <c r="AC32" s="7"/>
      <c r="AD32" s="7"/>
      <c r="AE32" s="30" t="str">
        <f>W26</f>
        <v>L</v>
      </c>
      <c r="AF32" s="7" t="s">
        <v>255</v>
      </c>
      <c r="AG32" s="7"/>
      <c r="AH32" s="7"/>
      <c r="AI32" s="7"/>
      <c r="AJ32" s="7"/>
      <c r="AK32" s="7"/>
      <c r="AL32" s="7"/>
      <c r="AM32" s="7"/>
      <c r="AN32" s="7" t="str">
        <f>AN31</f>
        <v>mm</v>
      </c>
      <c r="AO32" s="7"/>
    </row>
    <row r="33" spans="1:4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39" t="s">
        <v>256</v>
      </c>
      <c r="L33" s="7" t="str">
        <f>"Mean Coeff. of Thermal Expansion at "&amp;K34</f>
        <v>Mean Coeff. of Thermal Expansion at T</v>
      </c>
      <c r="M33" s="7"/>
      <c r="N33" s="7"/>
      <c r="O33" s="7"/>
      <c r="P33" s="7"/>
      <c r="Q33" s="7"/>
      <c r="R33" s="7" t="str">
        <f>"mm / mm / "&amp;R34&amp;" x 10^6"</f>
        <v>mm / mm / ℃ x 10^6</v>
      </c>
      <c r="S33" s="7"/>
      <c r="T33" s="7"/>
      <c r="U33" s="1"/>
      <c r="W33" s="6"/>
      <c r="X33" s="7"/>
      <c r="Y33" s="7"/>
      <c r="Z33" s="7"/>
      <c r="AA33" s="7"/>
      <c r="AB33" s="7"/>
      <c r="AC33" s="7"/>
      <c r="AD33" s="7"/>
      <c r="AE33" s="39" t="s">
        <v>257</v>
      </c>
      <c r="AF33" s="7" t="s">
        <v>258</v>
      </c>
      <c r="AG33" s="7"/>
      <c r="AH33" s="7"/>
      <c r="AI33" s="7"/>
      <c r="AJ33" s="7"/>
      <c r="AK33" s="7"/>
      <c r="AL33" s="7"/>
      <c r="AM33" s="7"/>
      <c r="AN33" s="7" t="str">
        <f>"mm / mm / "&amp;AN34&amp;" x 10^6"</f>
        <v>mm / mm / ℃ x 10^6</v>
      </c>
      <c r="AO33" s="7"/>
    </row>
    <row r="34" spans="1:4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30" t="s">
        <v>259</v>
      </c>
      <c r="L34" s="7" t="str">
        <f>E11&amp;" or "&amp;E12&amp;" Temperature"</f>
        <v>Oper. or Design Temperature</v>
      </c>
      <c r="M34" s="7"/>
      <c r="N34" s="7"/>
      <c r="O34" s="7"/>
      <c r="P34" s="7"/>
      <c r="Q34" s="7"/>
      <c r="R34" s="41" t="str">
        <f>J11</f>
        <v>℃</v>
      </c>
      <c r="S34" s="7"/>
      <c r="T34" s="7"/>
      <c r="U34" s="1"/>
      <c r="W34" s="6"/>
      <c r="X34" s="7"/>
      <c r="Y34" s="7"/>
      <c r="Z34" s="7"/>
      <c r="AA34" s="7"/>
      <c r="AB34" s="7"/>
      <c r="AC34" s="7"/>
      <c r="AD34" s="7"/>
      <c r="AE34" s="30" t="s">
        <v>259</v>
      </c>
      <c r="AF34" s="7" t="str">
        <f>E11&amp;" or "&amp;E12&amp;" Temperature"</f>
        <v>Oper. or Design Temperature</v>
      </c>
      <c r="AG34" s="7"/>
      <c r="AH34" s="7"/>
      <c r="AI34" s="7"/>
      <c r="AJ34" s="7"/>
      <c r="AK34" s="7"/>
      <c r="AL34" s="7"/>
      <c r="AM34" s="7"/>
      <c r="AN34" s="41" t="str">
        <f>J11</f>
        <v>℃</v>
      </c>
      <c r="AO34" s="7"/>
    </row>
    <row r="35" spans="1:4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39" t="s">
        <v>260</v>
      </c>
      <c r="L35" s="7" t="str">
        <f>"Mean Coeff. of Thermal Expansion at "&amp;K36</f>
        <v>Mean Coeff. of Thermal Expansion at Ta</v>
      </c>
      <c r="M35" s="7"/>
      <c r="N35" s="7"/>
      <c r="O35" s="7"/>
      <c r="P35" s="7"/>
      <c r="Q35" s="7"/>
      <c r="R35" s="7" t="str">
        <f>"mm / mm / "&amp;R34&amp;" x 10^6"</f>
        <v>mm / mm / ℃ x 10^6</v>
      </c>
      <c r="S35" s="7"/>
      <c r="T35" s="7"/>
      <c r="U35" s="1"/>
      <c r="W35" s="6"/>
      <c r="X35" s="7"/>
      <c r="Y35" s="7"/>
      <c r="Z35" s="7"/>
      <c r="AA35" s="7"/>
      <c r="AB35" s="7"/>
      <c r="AC35" s="7"/>
      <c r="AD35" s="7"/>
      <c r="AE35" s="30" t="str">
        <f>G13</f>
        <v>Ta</v>
      </c>
      <c r="AF35" s="7" t="str">
        <f>E13&amp;" Temperature"</f>
        <v>Ambient Temperature</v>
      </c>
      <c r="AG35" s="7"/>
      <c r="AH35" s="7"/>
      <c r="AI35" s="7"/>
      <c r="AJ35" s="7"/>
      <c r="AK35" s="7"/>
      <c r="AL35" s="7"/>
      <c r="AM35" s="7"/>
      <c r="AN35" s="7" t="str">
        <f>AN34</f>
        <v>℃</v>
      </c>
      <c r="AO35" s="7"/>
    </row>
    <row r="36" spans="1:4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30" t="str">
        <f>G13</f>
        <v>Ta</v>
      </c>
      <c r="L36" s="7" t="str">
        <f>E13&amp;" Temperature"</f>
        <v>Ambient Temperature</v>
      </c>
      <c r="M36" s="7"/>
      <c r="N36" s="7"/>
      <c r="O36" s="7"/>
      <c r="P36" s="7"/>
      <c r="Q36" s="7"/>
      <c r="R36" s="7" t="str">
        <f>R34</f>
        <v>℃</v>
      </c>
      <c r="S36" s="7"/>
      <c r="T36" s="7"/>
      <c r="U36" s="1"/>
      <c r="W36" s="8"/>
      <c r="X36" s="8"/>
      <c r="Y36" s="8"/>
      <c r="Z36" s="8"/>
      <c r="AA36" s="8"/>
      <c r="AB36" s="8"/>
      <c r="AC36" s="8"/>
      <c r="AD36" s="8"/>
      <c r="AE36" s="8"/>
      <c r="AN36" s="8"/>
      <c r="AO36" s="8"/>
    </row>
    <row r="37" spans="1:28" ht="11.25" customHeight="1">
      <c r="A37" s="3">
        <v>35</v>
      </c>
      <c r="B37" s="44" t="str">
        <f>" "&amp;L31&amp;"  at  "&amp;G11</f>
        <v> Elongation  at  To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  <c r="AB37" s="55" t="str">
        <f>AE33</f>
        <v>αm</v>
      </c>
    </row>
    <row r="38" spans="1:33" ht="11.25" customHeight="1">
      <c r="A38" s="3">
        <v>36</v>
      </c>
      <c r="B38" s="45" t="str">
        <f>B31&amp;"o"</f>
        <v>Δo</v>
      </c>
      <c r="C38" s="7" t="s">
        <v>252</v>
      </c>
      <c r="D38" s="105">
        <f>K26</f>
        <v>2550</v>
      </c>
      <c r="E38" s="105"/>
      <c r="F38" s="31" t="s">
        <v>261</v>
      </c>
      <c r="G38" s="46">
        <f>alphaTEMA(mindex(P11,40),I38,R34)*IF(R34&lt;&gt;"℉",1,5/9)</f>
        <v>12.93264</v>
      </c>
      <c r="H38" s="31" t="s">
        <v>262</v>
      </c>
      <c r="I38" s="46">
        <f>H11</f>
        <v>228</v>
      </c>
      <c r="J38" s="31" t="s">
        <v>263</v>
      </c>
      <c r="K38" s="46">
        <f>alphaTEMA(mindex(P11,40),M38,R36)*IF(R36&lt;&gt;"℉",1,5/9)</f>
        <v>11.455199999999996</v>
      </c>
      <c r="L38" s="31" t="s">
        <v>262</v>
      </c>
      <c r="M38" s="46">
        <f>H13</f>
        <v>0</v>
      </c>
      <c r="N38" s="47" t="s">
        <v>264</v>
      </c>
      <c r="O38" s="7"/>
      <c r="P38" s="31" t="s">
        <v>252</v>
      </c>
      <c r="Q38" s="104">
        <f>D38*(G38*I38-K38*M38)/10^6</f>
        <v>7.519036895999999</v>
      </c>
      <c r="R38" s="104"/>
      <c r="S38" s="49" t="str">
        <f>R31</f>
        <v>mm</v>
      </c>
      <c r="T38" s="7"/>
      <c r="U38" s="1"/>
      <c r="W38" s="53">
        <f>Y38*AB38*(AD38-AF38)/10^6</f>
        <v>7.089545087999999</v>
      </c>
      <c r="X38" s="3" t="s">
        <v>265</v>
      </c>
      <c r="Y38" s="98">
        <f>D38</f>
        <v>2550</v>
      </c>
      <c r="Z38" s="99"/>
      <c r="AA38" s="3" t="s">
        <v>262</v>
      </c>
      <c r="AB38" s="54">
        <f>alphaTEMA(mindex(P11,40),(AD38+AF38)/2,AN34)*IF(AN34&lt;&gt;"℉",1,5/9)</f>
        <v>12.193919999999999</v>
      </c>
      <c r="AC38" s="3" t="s">
        <v>266</v>
      </c>
      <c r="AD38" s="3">
        <f>I38</f>
        <v>228</v>
      </c>
      <c r="AE38" s="3" t="s">
        <v>263</v>
      </c>
      <c r="AF38" s="3">
        <f>M38</f>
        <v>0</v>
      </c>
      <c r="AG38" s="52" t="str">
        <f>N38</f>
        <v>)  /  10^6</v>
      </c>
    </row>
    <row r="39" spans="1:21" ht="11.25" customHeight="1">
      <c r="A39" s="3">
        <v>37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44" t="str">
        <f>" "&amp;L31&amp;"  at  "&amp;G12</f>
        <v> Elongation  at  Td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33" ht="11.25" customHeight="1">
      <c r="A41" s="3">
        <v>39</v>
      </c>
      <c r="B41" s="45" t="str">
        <f>B31&amp;"d"</f>
        <v>Δd</v>
      </c>
      <c r="C41" s="7" t="s">
        <v>252</v>
      </c>
      <c r="D41" s="105">
        <f>D38</f>
        <v>2550</v>
      </c>
      <c r="E41" s="105"/>
      <c r="F41" s="31" t="s">
        <v>261</v>
      </c>
      <c r="G41" s="46">
        <f>alphaTEMA(mindex(P11,40),I41,R34)*IF(R34&lt;&gt;"℉",1,5/9)</f>
        <v>13.139999999999999</v>
      </c>
      <c r="H41" s="31" t="s">
        <v>262</v>
      </c>
      <c r="I41" s="46">
        <f>H12</f>
        <v>275</v>
      </c>
      <c r="J41" s="31" t="s">
        <v>263</v>
      </c>
      <c r="K41" s="46">
        <f>alphaTEMA(mindex(P11,40),M41,R36)*IF(R36&lt;&gt;"℉",1,5/9)</f>
        <v>11.455199999999996</v>
      </c>
      <c r="L41" s="31" t="s">
        <v>262</v>
      </c>
      <c r="M41" s="46">
        <f>M38</f>
        <v>0</v>
      </c>
      <c r="N41" s="47" t="s">
        <v>264</v>
      </c>
      <c r="O41" s="7"/>
      <c r="P41" s="31" t="s">
        <v>252</v>
      </c>
      <c r="Q41" s="104">
        <f>D41*(G41*I41-K41*M41)/10^6</f>
        <v>9.214424999999999</v>
      </c>
      <c r="R41" s="104"/>
      <c r="S41" s="49" t="str">
        <f>R31</f>
        <v>mm</v>
      </c>
      <c r="T41" s="7"/>
      <c r="U41" s="1"/>
      <c r="W41" s="53">
        <f>Y41*AB41*(AD41-AF41)/10^6</f>
        <v>8.65777275</v>
      </c>
      <c r="X41" s="3" t="s">
        <v>265</v>
      </c>
      <c r="Y41" s="98">
        <f>D41</f>
        <v>2550</v>
      </c>
      <c r="Z41" s="99"/>
      <c r="AA41" s="3" t="s">
        <v>262</v>
      </c>
      <c r="AB41" s="54">
        <f>alphaTEMA(mindex(P11,40),(AD41+AF41)/2,AN34)*IF(AN34&lt;&gt;"℉",1,5/9)</f>
        <v>12.3462</v>
      </c>
      <c r="AC41" s="3" t="s">
        <v>266</v>
      </c>
      <c r="AD41" s="3">
        <f>I41</f>
        <v>275</v>
      </c>
      <c r="AE41" s="3" t="s">
        <v>263</v>
      </c>
      <c r="AF41" s="3">
        <f>M41</f>
        <v>0</v>
      </c>
      <c r="AG41" s="52" t="str">
        <f>N41</f>
        <v>)  /  10^6</v>
      </c>
    </row>
    <row r="42" spans="1:21" ht="11.25" customHeight="1">
      <c r="A42" s="3">
        <v>40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1.25" customHeight="1">
      <c r="A43" s="3">
        <v>41</v>
      </c>
      <c r="B43" s="101" t="s">
        <v>267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22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8"/>
      <c r="R46" s="8"/>
      <c r="S46" s="8"/>
      <c r="T46" s="8"/>
      <c r="U46" s="12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3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38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268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50" t="s">
        <v>269</v>
      </c>
      <c r="C58" s="7" t="s">
        <v>270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50" t="s">
        <v>271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50" t="s">
        <v>272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50" t="s">
        <v>273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1" t="s">
        <v>274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335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333</v>
      </c>
    </row>
    <row r="64" ht="11.25" customHeight="1">
      <c r="A64" s="3"/>
    </row>
    <row r="65" ht="11.25" customHeight="1">
      <c r="A65" s="3"/>
    </row>
  </sheetData>
  <mergeCells count="20">
    <mergeCell ref="R7:U7"/>
    <mergeCell ref="B9:U9"/>
    <mergeCell ref="B11:D13"/>
    <mergeCell ref="H11:I11"/>
    <mergeCell ref="H12:I12"/>
    <mergeCell ref="H13:I13"/>
    <mergeCell ref="B1:U2"/>
    <mergeCell ref="R3:U3"/>
    <mergeCell ref="R4:U4"/>
    <mergeCell ref="R5:U5"/>
    <mergeCell ref="Y38:Z38"/>
    <mergeCell ref="Y41:Z41"/>
    <mergeCell ref="B15:U15"/>
    <mergeCell ref="K26:L26"/>
    <mergeCell ref="B43:U43"/>
    <mergeCell ref="B28:U28"/>
    <mergeCell ref="Q38:R38"/>
    <mergeCell ref="D41:E41"/>
    <mergeCell ref="Q41:R41"/>
    <mergeCell ref="D38:E38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65"/>
  <sheetViews>
    <sheetView zoomScaleSheetLayoutView="100" workbookViewId="0" topLeftCell="A1">
      <selection activeCell="O8" sqref="O8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88" t="s">
        <v>222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2:21" ht="11.2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75"/>
    </row>
    <row r="3" spans="1:21" ht="11.25" customHeight="1">
      <c r="A3" s="3">
        <v>1</v>
      </c>
      <c r="B3" s="4" t="s">
        <v>223</v>
      </c>
      <c r="C3" s="5"/>
      <c r="D3" s="5"/>
      <c r="E3" s="21" t="s">
        <v>282</v>
      </c>
      <c r="F3" s="5"/>
      <c r="G3" s="5"/>
      <c r="H3" s="5"/>
      <c r="I3" s="5"/>
      <c r="J3" s="5"/>
      <c r="K3" s="5"/>
      <c r="L3" s="5"/>
      <c r="M3" s="5"/>
      <c r="N3" s="5"/>
      <c r="O3" s="5"/>
      <c r="P3" s="20" t="s">
        <v>283</v>
      </c>
      <c r="Q3" s="11"/>
      <c r="R3" s="93" t="s">
        <v>284</v>
      </c>
      <c r="S3" s="93"/>
      <c r="T3" s="93"/>
      <c r="U3" s="94"/>
    </row>
    <row r="4" spans="1:21" ht="11.25" customHeight="1">
      <c r="A4" s="3">
        <v>2</v>
      </c>
      <c r="B4" s="6" t="s">
        <v>224</v>
      </c>
      <c r="C4" s="7"/>
      <c r="D4" s="7"/>
      <c r="E4" s="22" t="s">
        <v>285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225</v>
      </c>
      <c r="Q4" s="7"/>
      <c r="R4" s="95" t="s">
        <v>226</v>
      </c>
      <c r="S4" s="95"/>
      <c r="T4" s="95"/>
      <c r="U4" s="96"/>
    </row>
    <row r="5" spans="1:21" ht="11.25" customHeight="1">
      <c r="A5" s="3">
        <v>3</v>
      </c>
      <c r="B5" s="6" t="s">
        <v>227</v>
      </c>
      <c r="C5" s="7"/>
      <c r="D5" s="7"/>
      <c r="E5" s="22" t="s">
        <v>286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228</v>
      </c>
      <c r="Q5" s="7"/>
      <c r="R5" s="87" t="s">
        <v>332</v>
      </c>
      <c r="S5" s="87"/>
      <c r="T5" s="87"/>
      <c r="U5" s="97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229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230</v>
      </c>
      <c r="C7" s="11"/>
      <c r="D7" s="11"/>
      <c r="E7" s="20" t="s">
        <v>287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231</v>
      </c>
      <c r="Q7" s="11"/>
      <c r="R7" s="76" t="s">
        <v>288</v>
      </c>
      <c r="S7" s="76"/>
      <c r="T7" s="76"/>
      <c r="U7" s="77"/>
    </row>
    <row r="8" spans="1:21" ht="11.25" customHeight="1">
      <c r="A8" s="3">
        <v>6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78" t="s">
        <v>232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3" ht="11.25" customHeight="1">
      <c r="A10" s="3">
        <v>8</v>
      </c>
      <c r="B10" s="4" t="s">
        <v>233</v>
      </c>
      <c r="C10" s="5"/>
      <c r="D10" s="5"/>
      <c r="E10" s="21" t="s">
        <v>234</v>
      </c>
      <c r="F10" s="5"/>
      <c r="G10" s="5"/>
      <c r="H10" s="5"/>
      <c r="I10" s="5"/>
      <c r="J10" s="5"/>
      <c r="K10" s="5"/>
      <c r="L10" s="10" t="s">
        <v>289</v>
      </c>
      <c r="M10" s="5"/>
      <c r="N10" s="5"/>
      <c r="O10" s="5"/>
      <c r="P10" s="5" t="s">
        <v>26</v>
      </c>
      <c r="Q10" s="5"/>
      <c r="R10" s="5"/>
      <c r="S10" s="5"/>
      <c r="T10" s="5"/>
      <c r="U10" s="13"/>
      <c r="W10" s="32" t="s">
        <v>235</v>
      </c>
    </row>
    <row r="11" spans="1:23" ht="11.25" customHeight="1">
      <c r="A11" s="3">
        <v>9</v>
      </c>
      <c r="B11" s="81" t="s">
        <v>236</v>
      </c>
      <c r="C11" s="82"/>
      <c r="D11" s="82"/>
      <c r="E11" s="7" t="s">
        <v>237</v>
      </c>
      <c r="F11" s="7"/>
      <c r="G11" s="30" t="s">
        <v>238</v>
      </c>
      <c r="H11" s="87">
        <v>228</v>
      </c>
      <c r="I11" s="87"/>
      <c r="J11" s="7" t="s">
        <v>24</v>
      </c>
      <c r="K11" s="7"/>
      <c r="L11" s="6" t="s">
        <v>239</v>
      </c>
      <c r="M11" s="7"/>
      <c r="N11" s="7"/>
      <c r="O11" s="7"/>
      <c r="P11" s="7" t="s">
        <v>279</v>
      </c>
      <c r="Q11" s="7"/>
      <c r="R11" s="7"/>
      <c r="S11" s="7"/>
      <c r="T11" s="7"/>
      <c r="U11" s="1"/>
      <c r="W11" s="2" t="s">
        <v>278</v>
      </c>
    </row>
    <row r="12" spans="1:21" ht="11.25" customHeight="1">
      <c r="A12" s="3">
        <v>10</v>
      </c>
      <c r="B12" s="83"/>
      <c r="C12" s="84"/>
      <c r="D12" s="84"/>
      <c r="E12" s="7" t="s">
        <v>240</v>
      </c>
      <c r="F12" s="7"/>
      <c r="G12" s="30" t="s">
        <v>241</v>
      </c>
      <c r="H12" s="87">
        <v>275</v>
      </c>
      <c r="I12" s="87"/>
      <c r="J12" s="7" t="str">
        <f>J11</f>
        <v>℃</v>
      </c>
      <c r="K12" s="7"/>
      <c r="L12" s="6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85"/>
      <c r="C13" s="86"/>
      <c r="D13" s="86"/>
      <c r="E13" s="7" t="s">
        <v>242</v>
      </c>
      <c r="F13" s="7"/>
      <c r="G13" s="30" t="s">
        <v>243</v>
      </c>
      <c r="H13" s="87">
        <v>0</v>
      </c>
      <c r="I13" s="87"/>
      <c r="J13" s="7" t="str">
        <f>J11</f>
        <v>℃</v>
      </c>
      <c r="K13" s="7"/>
      <c r="L13" s="6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33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78" t="s">
        <v>244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21" ht="11.25" customHeight="1">
      <c r="A16" s="3">
        <v>14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ht="11.25" customHeight="1">
      <c r="A17" s="3">
        <v>15</v>
      </c>
      <c r="B17" s="3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8"/>
    </row>
    <row r="18" spans="1:21" ht="11.25" customHeight="1">
      <c r="A18" s="3">
        <v>16</v>
      </c>
      <c r="B18" s="3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8"/>
    </row>
    <row r="19" spans="1:21" ht="11.25" customHeight="1">
      <c r="A19" s="3">
        <v>17</v>
      </c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8"/>
    </row>
    <row r="20" spans="1:21" ht="11.25" customHeight="1">
      <c r="A20" s="3">
        <v>18</v>
      </c>
      <c r="B20" s="3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8"/>
    </row>
    <row r="21" spans="1:21" ht="11.25" customHeight="1">
      <c r="A21" s="3">
        <v>19</v>
      </c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38"/>
    </row>
    <row r="22" spans="1:21" ht="11.25" customHeight="1">
      <c r="A22" s="3">
        <v>20</v>
      </c>
      <c r="B22" s="3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8"/>
    </row>
    <row r="23" spans="1:21" ht="11.25" customHeight="1">
      <c r="A23" s="3">
        <v>21</v>
      </c>
      <c r="B23" s="37"/>
      <c r="C23" s="19"/>
      <c r="D23" s="19"/>
      <c r="E23" s="19"/>
      <c r="J23" s="19"/>
      <c r="K23" s="19"/>
      <c r="P23" s="19"/>
      <c r="Q23" s="19"/>
      <c r="R23" s="19"/>
      <c r="S23" s="19"/>
      <c r="T23" s="19"/>
      <c r="U23" s="38"/>
    </row>
    <row r="24" spans="1:21" ht="11.25" customHeight="1">
      <c r="A24" s="3">
        <v>22</v>
      </c>
      <c r="B24" s="37"/>
      <c r="C24" s="19"/>
      <c r="D24" s="25" t="s">
        <v>291</v>
      </c>
      <c r="E24" s="19"/>
      <c r="F24" s="43" t="str">
        <f>W26&amp;"  ="</f>
        <v>L  =</v>
      </c>
      <c r="G24" s="100">
        <v>4720</v>
      </c>
      <c r="H24" s="100"/>
      <c r="I24" s="19" t="s">
        <v>246</v>
      </c>
      <c r="J24" s="110" t="s">
        <v>204</v>
      </c>
      <c r="K24" s="110"/>
      <c r="L24" s="43" t="str">
        <f>F24</f>
        <v>L  =</v>
      </c>
      <c r="M24" s="100">
        <v>3930</v>
      </c>
      <c r="N24" s="100"/>
      <c r="O24" s="19" t="s">
        <v>246</v>
      </c>
      <c r="P24" s="110" t="s">
        <v>290</v>
      </c>
      <c r="Q24" s="110"/>
      <c r="R24" s="19"/>
      <c r="S24" s="19"/>
      <c r="T24" s="19"/>
      <c r="U24" s="38"/>
    </row>
    <row r="25" spans="1:23" ht="11.25" customHeight="1">
      <c r="A25" s="3">
        <v>23</v>
      </c>
      <c r="B25" s="3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8"/>
      <c r="W25" s="32" t="s">
        <v>245</v>
      </c>
    </row>
    <row r="26" spans="1:23" ht="11.25" customHeight="1">
      <c r="A26" s="3">
        <v>24</v>
      </c>
      <c r="B26" s="37"/>
      <c r="C26" s="19"/>
      <c r="D26" s="19"/>
      <c r="E26" s="19"/>
      <c r="F26" s="19"/>
      <c r="G26" s="19"/>
      <c r="H26" s="19"/>
      <c r="I26" s="43" t="str">
        <f>F24</f>
        <v>L  =</v>
      </c>
      <c r="J26" s="109">
        <f>G24+M24</f>
        <v>8650</v>
      </c>
      <c r="K26" s="109"/>
      <c r="L26" s="19" t="s">
        <v>246</v>
      </c>
      <c r="N26" s="19"/>
      <c r="O26" s="19"/>
      <c r="P26" s="19"/>
      <c r="Q26" s="19"/>
      <c r="R26" s="19"/>
      <c r="S26" s="19"/>
      <c r="T26" s="19"/>
      <c r="U26" s="38"/>
      <c r="W26" s="48" t="s">
        <v>247</v>
      </c>
    </row>
    <row r="27" spans="1:21" ht="11.25" customHeight="1">
      <c r="A27" s="3">
        <v>25</v>
      </c>
      <c r="B27" s="3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8"/>
    </row>
    <row r="28" spans="1:21" ht="11.25" customHeight="1">
      <c r="A28" s="3">
        <v>26</v>
      </c>
      <c r="B28" s="78" t="s">
        <v>248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</row>
    <row r="29" spans="1:23" ht="11.25" customHeight="1">
      <c r="A29" s="3">
        <v>27</v>
      </c>
      <c r="B29" s="6" t="s">
        <v>250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  <c r="W29" s="32" t="s">
        <v>249</v>
      </c>
    </row>
    <row r="30" spans="1:21" ht="11.25" customHeight="1">
      <c r="A30" s="3">
        <v>28</v>
      </c>
      <c r="B30" s="42" t="s">
        <v>251</v>
      </c>
      <c r="C30" s="7" t="s">
        <v>252</v>
      </c>
      <c r="D30" s="7" t="str">
        <f>W26&amp;"  x  (  "&amp;K32&amp;"  x  "&amp;K33&amp;"  -  "&amp;K34&amp;"  x  "&amp;K35&amp;"  )"</f>
        <v>L  x  (  αT  x  T  -  αTa  x  Ta  )</v>
      </c>
      <c r="E30" s="7"/>
      <c r="F30" s="7"/>
      <c r="G30" s="7"/>
      <c r="H30" s="7"/>
      <c r="I30" s="7"/>
      <c r="J30" s="40" t="s">
        <v>253</v>
      </c>
      <c r="K30" s="39" t="str">
        <f>B30</f>
        <v>Δ</v>
      </c>
      <c r="L30" s="7" t="s">
        <v>254</v>
      </c>
      <c r="M30" s="7"/>
      <c r="N30" s="7"/>
      <c r="O30" s="7"/>
      <c r="P30" s="7"/>
      <c r="Q30" s="7"/>
      <c r="R30" s="7" t="s">
        <v>246</v>
      </c>
      <c r="S30" s="7"/>
      <c r="T30" s="7"/>
      <c r="U30" s="1"/>
    </row>
    <row r="31" spans="1:41" ht="11.25" customHeight="1">
      <c r="A31" s="3">
        <v>29</v>
      </c>
      <c r="B31" s="6"/>
      <c r="C31" s="7"/>
      <c r="D31" s="7"/>
      <c r="E31" s="7"/>
      <c r="F31" s="7"/>
      <c r="G31" s="7"/>
      <c r="H31" s="7"/>
      <c r="I31" s="7"/>
      <c r="J31" s="7"/>
      <c r="K31" s="30" t="str">
        <f>W26</f>
        <v>L</v>
      </c>
      <c r="L31" s="7" t="s">
        <v>255</v>
      </c>
      <c r="M31" s="7"/>
      <c r="N31" s="7"/>
      <c r="O31" s="7"/>
      <c r="P31" s="7"/>
      <c r="Q31" s="7"/>
      <c r="R31" s="7" t="str">
        <f>R30</f>
        <v>mm</v>
      </c>
      <c r="S31" s="7"/>
      <c r="T31" s="7"/>
      <c r="U31" s="1"/>
      <c r="W31" s="42" t="s">
        <v>251</v>
      </c>
      <c r="X31" s="7" t="s">
        <v>252</v>
      </c>
      <c r="Y31" s="7" t="str">
        <f>W26&amp;"  x  "&amp;AE33&amp;"  x  (  "&amp;AE34&amp;"  -  "&amp;AE35&amp;"  )"</f>
        <v>L  x  αm  x  (  T  -  Ta  )</v>
      </c>
      <c r="Z31" s="7"/>
      <c r="AA31" s="7"/>
      <c r="AB31" s="7"/>
      <c r="AC31" s="7"/>
      <c r="AD31" s="40" t="s">
        <v>253</v>
      </c>
      <c r="AE31" s="39" t="str">
        <f>W31</f>
        <v>Δ</v>
      </c>
      <c r="AF31" s="7" t="s">
        <v>254</v>
      </c>
      <c r="AG31" s="7"/>
      <c r="AH31" s="7"/>
      <c r="AI31" s="7"/>
      <c r="AJ31" s="7"/>
      <c r="AK31" s="7"/>
      <c r="AL31" s="7"/>
      <c r="AM31" s="7"/>
      <c r="AN31" s="7" t="s">
        <v>246</v>
      </c>
      <c r="AO31" s="7"/>
    </row>
    <row r="32" spans="1:41" ht="11.25" customHeight="1">
      <c r="A32" s="3">
        <v>30</v>
      </c>
      <c r="B32" s="6"/>
      <c r="C32" s="7"/>
      <c r="D32" s="7"/>
      <c r="E32" s="7"/>
      <c r="F32" s="7"/>
      <c r="G32" s="7"/>
      <c r="H32" s="7"/>
      <c r="I32" s="7"/>
      <c r="J32" s="7"/>
      <c r="K32" s="39" t="s">
        <v>256</v>
      </c>
      <c r="L32" s="7" t="str">
        <f>"Mean Coeff. of Thermal Expansion at "&amp;K33</f>
        <v>Mean Coeff. of Thermal Expansion at T</v>
      </c>
      <c r="M32" s="7"/>
      <c r="N32" s="7"/>
      <c r="O32" s="7"/>
      <c r="P32" s="7"/>
      <c r="Q32" s="7"/>
      <c r="R32" s="7" t="str">
        <f>"mm / mm / "&amp;R33&amp;" x 10^6"</f>
        <v>mm / mm / ℃ x 10^6</v>
      </c>
      <c r="S32" s="7"/>
      <c r="T32" s="7"/>
      <c r="U32" s="1"/>
      <c r="W32" s="6"/>
      <c r="X32" s="7"/>
      <c r="Y32" s="7"/>
      <c r="Z32" s="7"/>
      <c r="AA32" s="7"/>
      <c r="AB32" s="7"/>
      <c r="AC32" s="7"/>
      <c r="AD32" s="7"/>
      <c r="AE32" s="30" t="str">
        <f>W26</f>
        <v>L</v>
      </c>
      <c r="AF32" s="7" t="s">
        <v>255</v>
      </c>
      <c r="AG32" s="7"/>
      <c r="AH32" s="7"/>
      <c r="AI32" s="7"/>
      <c r="AJ32" s="7"/>
      <c r="AK32" s="7"/>
      <c r="AL32" s="7"/>
      <c r="AM32" s="7"/>
      <c r="AN32" s="7" t="str">
        <f>AN31</f>
        <v>mm</v>
      </c>
      <c r="AO32" s="7"/>
    </row>
    <row r="33" spans="1:4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30" t="s">
        <v>259</v>
      </c>
      <c r="L33" s="7" t="str">
        <f>E11&amp;" or "&amp;E12&amp;" Temperature"</f>
        <v>Oper. or Design Temperature</v>
      </c>
      <c r="M33" s="7"/>
      <c r="N33" s="7"/>
      <c r="O33" s="7"/>
      <c r="P33" s="7"/>
      <c r="Q33" s="7"/>
      <c r="R33" s="41" t="str">
        <f>J11</f>
        <v>℃</v>
      </c>
      <c r="S33" s="7"/>
      <c r="T33" s="7"/>
      <c r="U33" s="1"/>
      <c r="W33" s="6"/>
      <c r="X33" s="7"/>
      <c r="Y33" s="7"/>
      <c r="Z33" s="7"/>
      <c r="AA33" s="7"/>
      <c r="AB33" s="7"/>
      <c r="AC33" s="7"/>
      <c r="AD33" s="7"/>
      <c r="AE33" s="39" t="s">
        <v>257</v>
      </c>
      <c r="AF33" s="7" t="s">
        <v>258</v>
      </c>
      <c r="AG33" s="7"/>
      <c r="AH33" s="7"/>
      <c r="AI33" s="7"/>
      <c r="AJ33" s="7"/>
      <c r="AK33" s="7"/>
      <c r="AL33" s="7"/>
      <c r="AM33" s="7"/>
      <c r="AN33" s="7" t="str">
        <f>"mm / mm / "&amp;AN34&amp;" x 10^6"</f>
        <v>mm / mm / ℃ x 10^6</v>
      </c>
      <c r="AO33" s="7"/>
    </row>
    <row r="34" spans="1:4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39" t="s">
        <v>260</v>
      </c>
      <c r="L34" s="7" t="str">
        <f>"Mean Coeff. of Thermal Expansion at "&amp;K35</f>
        <v>Mean Coeff. of Thermal Expansion at Ta</v>
      </c>
      <c r="M34" s="7"/>
      <c r="N34" s="7"/>
      <c r="O34" s="7"/>
      <c r="P34" s="7"/>
      <c r="Q34" s="7"/>
      <c r="R34" s="7" t="str">
        <f>"mm / mm / "&amp;R33&amp;" x 10^6"</f>
        <v>mm / mm / ℃ x 10^6</v>
      </c>
      <c r="S34" s="7"/>
      <c r="T34" s="7"/>
      <c r="U34" s="1"/>
      <c r="W34" s="6"/>
      <c r="X34" s="7"/>
      <c r="Y34" s="7"/>
      <c r="Z34" s="7"/>
      <c r="AA34" s="7"/>
      <c r="AB34" s="7"/>
      <c r="AC34" s="7"/>
      <c r="AD34" s="7"/>
      <c r="AE34" s="30" t="s">
        <v>259</v>
      </c>
      <c r="AF34" s="7" t="str">
        <f>E11&amp;" or "&amp;E12&amp;" Temperature"</f>
        <v>Oper. or Design Temperature</v>
      </c>
      <c r="AG34" s="7"/>
      <c r="AH34" s="7"/>
      <c r="AI34" s="7"/>
      <c r="AJ34" s="7"/>
      <c r="AK34" s="7"/>
      <c r="AL34" s="7"/>
      <c r="AM34" s="7"/>
      <c r="AN34" s="41" t="str">
        <f>J11</f>
        <v>℃</v>
      </c>
      <c r="AO34" s="7"/>
    </row>
    <row r="35" spans="1:4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30" t="str">
        <f>G13</f>
        <v>Ta</v>
      </c>
      <c r="L35" s="7" t="str">
        <f>E13&amp;" Temperature"</f>
        <v>Ambient Temperature</v>
      </c>
      <c r="M35" s="7"/>
      <c r="N35" s="7"/>
      <c r="O35" s="7"/>
      <c r="P35" s="7"/>
      <c r="Q35" s="7"/>
      <c r="R35" s="7" t="str">
        <f>R33</f>
        <v>℃</v>
      </c>
      <c r="S35" s="7"/>
      <c r="T35" s="7"/>
      <c r="U35" s="1"/>
      <c r="W35" s="6"/>
      <c r="X35" s="7"/>
      <c r="Y35" s="7"/>
      <c r="Z35" s="7"/>
      <c r="AA35" s="7"/>
      <c r="AB35" s="7"/>
      <c r="AC35" s="7"/>
      <c r="AD35" s="7"/>
      <c r="AE35" s="30" t="str">
        <f>G13</f>
        <v>Ta</v>
      </c>
      <c r="AF35" s="7" t="str">
        <f>E13&amp;" Temperature"</f>
        <v>Ambient Temperature</v>
      </c>
      <c r="AG35" s="7"/>
      <c r="AH35" s="7"/>
      <c r="AI35" s="7"/>
      <c r="AJ35" s="7"/>
      <c r="AK35" s="7"/>
      <c r="AL35" s="7"/>
      <c r="AM35" s="7"/>
      <c r="AN35" s="7" t="str">
        <f>AN34</f>
        <v>℃</v>
      </c>
      <c r="AO35" s="7"/>
    </row>
    <row r="36" spans="1:41" ht="11.25" customHeight="1">
      <c r="A36" s="3">
        <v>34</v>
      </c>
      <c r="B36" s="44" t="str">
        <f>" "&amp;W36&amp;" of the Point, "&amp;J24&amp;", relative to "&amp;D24&amp;"."</f>
        <v> Displacement of the Point, " A ", relative to Fixed Point.</v>
      </c>
      <c r="C36" s="7"/>
      <c r="D36" s="7"/>
      <c r="E36" s="7"/>
      <c r="F36" s="7"/>
      <c r="G36" s="7"/>
      <c r="H36" s="7"/>
      <c r="I36" s="7"/>
      <c r="J36" s="7"/>
      <c r="S36" s="7"/>
      <c r="T36" s="7"/>
      <c r="U36" s="1"/>
      <c r="W36" s="66" t="s">
        <v>217</v>
      </c>
      <c r="X36" s="8"/>
      <c r="Y36" s="8"/>
      <c r="Z36" s="8"/>
      <c r="AA36" s="8"/>
      <c r="AB36" s="8"/>
      <c r="AC36" s="8"/>
      <c r="AD36" s="8"/>
      <c r="AE36" s="8"/>
      <c r="AN36" s="8"/>
      <c r="AO36" s="8"/>
    </row>
    <row r="37" spans="1:28" ht="11.25" customHeight="1">
      <c r="A37" s="3">
        <v>35</v>
      </c>
      <c r="B37" s="68" t="str">
        <f>" "&amp;W36&amp;"  at  "&amp;G11</f>
        <v> Displacement  at  To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  <c r="AB37" s="55" t="str">
        <f>AE33</f>
        <v>αm</v>
      </c>
    </row>
    <row r="38" spans="1:33" ht="11.25" customHeight="1">
      <c r="A38" s="3">
        <v>36</v>
      </c>
      <c r="B38" s="45" t="str">
        <f>B30&amp;"o"</f>
        <v>Δo</v>
      </c>
      <c r="C38" s="7" t="s">
        <v>252</v>
      </c>
      <c r="D38" s="105">
        <f>G24</f>
        <v>4720</v>
      </c>
      <c r="E38" s="105"/>
      <c r="F38" s="31" t="s">
        <v>261</v>
      </c>
      <c r="G38" s="46">
        <f>alphaTEMA(mindex(P11,40),I38,R33)*IF(R33&lt;&gt;"℉",1,5/9)</f>
        <v>12.93264</v>
      </c>
      <c r="H38" s="31" t="s">
        <v>262</v>
      </c>
      <c r="I38" s="46">
        <f>H11</f>
        <v>228</v>
      </c>
      <c r="J38" s="31" t="s">
        <v>263</v>
      </c>
      <c r="K38" s="46">
        <f>alphaTEMA(mindex(P11,40),M38,R35)*IF(R35&lt;&gt;"℉",1,5/9)</f>
        <v>11.455199999999996</v>
      </c>
      <c r="L38" s="31" t="s">
        <v>262</v>
      </c>
      <c r="M38" s="46">
        <f>H13</f>
        <v>0</v>
      </c>
      <c r="N38" s="47" t="s">
        <v>264</v>
      </c>
      <c r="O38" s="7"/>
      <c r="P38" s="31" t="s">
        <v>252</v>
      </c>
      <c r="Q38" s="104">
        <f>D38*(G38*I38-K38*M38)/10^6</f>
        <v>13.917589862400002</v>
      </c>
      <c r="R38" s="104"/>
      <c r="S38" s="49" t="str">
        <f>R30</f>
        <v>mm</v>
      </c>
      <c r="T38" s="7"/>
      <c r="U38" s="1"/>
      <c r="W38" s="53">
        <f>Y38*AB38*(AD38-AF38)/10^6</f>
        <v>13.122608947199998</v>
      </c>
      <c r="X38" s="3" t="s">
        <v>265</v>
      </c>
      <c r="Y38" s="98">
        <f>D38</f>
        <v>4720</v>
      </c>
      <c r="Z38" s="99"/>
      <c r="AA38" s="3" t="s">
        <v>262</v>
      </c>
      <c r="AB38" s="54">
        <f>alphaTEMA(mindex(P11,40),(AD38+AF38)/2,AN34)*IF(AN34&lt;&gt;"℉",1,5/9)</f>
        <v>12.193919999999999</v>
      </c>
      <c r="AC38" s="3" t="s">
        <v>266</v>
      </c>
      <c r="AD38" s="3">
        <f>I38</f>
        <v>228</v>
      </c>
      <c r="AE38" s="3" t="s">
        <v>263</v>
      </c>
      <c r="AF38" s="3">
        <f>M38</f>
        <v>0</v>
      </c>
      <c r="AG38" s="52" t="str">
        <f>N38</f>
        <v>)  /  10^6</v>
      </c>
    </row>
    <row r="39" spans="1:21" ht="11.25" customHeight="1">
      <c r="A39" s="3">
        <v>37</v>
      </c>
      <c r="B39" s="68" t="str">
        <f>" "&amp;W36&amp;"  at  "&amp;G12</f>
        <v> Displacement  at  Td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33" ht="11.25" customHeight="1">
      <c r="A40" s="3">
        <v>38</v>
      </c>
      <c r="B40" s="45" t="str">
        <f>B30&amp;"d"</f>
        <v>Δd</v>
      </c>
      <c r="C40" s="7" t="s">
        <v>252</v>
      </c>
      <c r="D40" s="105">
        <f>D38</f>
        <v>4720</v>
      </c>
      <c r="E40" s="105"/>
      <c r="F40" s="31" t="s">
        <v>261</v>
      </c>
      <c r="G40" s="46">
        <f>alphaTEMA(mindex(P11,40),I40,R33)*IF(R33&lt;&gt;"℉",1,5/9)</f>
        <v>13.139999999999999</v>
      </c>
      <c r="H40" s="31" t="s">
        <v>262</v>
      </c>
      <c r="I40" s="46">
        <f>H12</f>
        <v>275</v>
      </c>
      <c r="J40" s="31" t="s">
        <v>263</v>
      </c>
      <c r="K40" s="46">
        <f>alphaTEMA(mindex(P11,40),M40,R35)*IF(R35&lt;&gt;"℉",1,5/9)</f>
        <v>11.455199999999996</v>
      </c>
      <c r="L40" s="31" t="s">
        <v>262</v>
      </c>
      <c r="M40" s="46">
        <f>M38</f>
        <v>0</v>
      </c>
      <c r="N40" s="47" t="s">
        <v>264</v>
      </c>
      <c r="O40" s="7"/>
      <c r="P40" s="31" t="s">
        <v>252</v>
      </c>
      <c r="Q40" s="104">
        <f>D40*(G40*I40-K40*M40)/10^6</f>
        <v>17.055719999999997</v>
      </c>
      <c r="R40" s="104"/>
      <c r="S40" s="49" t="str">
        <f>R30</f>
        <v>mm</v>
      </c>
      <c r="T40" s="7"/>
      <c r="U40" s="1"/>
      <c r="W40" s="53">
        <f>Y40*AB40*(AD40-AF40)/10^6</f>
        <v>16.0253676</v>
      </c>
      <c r="X40" s="3" t="s">
        <v>265</v>
      </c>
      <c r="Y40" s="98">
        <f>D40</f>
        <v>4720</v>
      </c>
      <c r="Z40" s="99"/>
      <c r="AA40" s="3" t="s">
        <v>262</v>
      </c>
      <c r="AB40" s="54">
        <f>alphaTEMA(mindex(P11,40),(AD40+AF40)/2,AN34)*IF(AN34&lt;&gt;"℉",1,5/9)</f>
        <v>12.3462</v>
      </c>
      <c r="AC40" s="3" t="s">
        <v>266</v>
      </c>
      <c r="AD40" s="3">
        <f>I40</f>
        <v>275</v>
      </c>
      <c r="AE40" s="3" t="s">
        <v>263</v>
      </c>
      <c r="AF40" s="3">
        <f>M40</f>
        <v>0</v>
      </c>
      <c r="AG40" s="52" t="str">
        <f>N40</f>
        <v>)  /  10^6</v>
      </c>
    </row>
    <row r="41" spans="1:21" ht="11.25" customHeight="1">
      <c r="A41" s="3">
        <v>39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31" ht="11.25" customHeight="1">
      <c r="A42" s="3">
        <v>40</v>
      </c>
      <c r="B42" s="44" t="str">
        <f>" "&amp;W36&amp;" of the Point, "&amp;P24&amp;", relative to "&amp;J24&amp;"."</f>
        <v> Displacement of the Point, " B ", relative to " A ".</v>
      </c>
      <c r="C42" s="7"/>
      <c r="D42" s="7"/>
      <c r="E42" s="7"/>
      <c r="F42" s="7"/>
      <c r="G42" s="7"/>
      <c r="H42" s="7"/>
      <c r="I42" s="7"/>
      <c r="J42" s="7"/>
      <c r="S42" s="7"/>
      <c r="T42" s="7"/>
      <c r="U42" s="1"/>
      <c r="X42" s="8"/>
      <c r="Y42" s="8"/>
      <c r="Z42" s="8"/>
      <c r="AA42" s="8"/>
      <c r="AB42" s="8"/>
      <c r="AC42" s="8"/>
      <c r="AD42" s="8"/>
      <c r="AE42" s="8"/>
    </row>
    <row r="43" spans="1:28" ht="11.25" customHeight="1">
      <c r="A43" s="3">
        <v>41</v>
      </c>
      <c r="B43" s="68" t="str">
        <f>" "&amp;W36&amp;"  at  "&amp;G11</f>
        <v> Displacement  at  To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  <c r="AB43" s="55" t="str">
        <f>AB37</f>
        <v>αm</v>
      </c>
    </row>
    <row r="44" spans="1:33" ht="11.25" customHeight="1">
      <c r="A44" s="3">
        <v>42</v>
      </c>
      <c r="B44" s="45" t="str">
        <f>W31&amp;"o"</f>
        <v>Δo</v>
      </c>
      <c r="C44" s="7" t="s">
        <v>252</v>
      </c>
      <c r="D44" s="105">
        <f>M24</f>
        <v>3930</v>
      </c>
      <c r="E44" s="105"/>
      <c r="F44" s="31" t="s">
        <v>261</v>
      </c>
      <c r="G44" s="46">
        <f>G38</f>
        <v>12.93264</v>
      </c>
      <c r="H44" s="31" t="s">
        <v>262</v>
      </c>
      <c r="I44" s="46">
        <f>I38</f>
        <v>228</v>
      </c>
      <c r="J44" s="31" t="s">
        <v>263</v>
      </c>
      <c r="K44" s="46">
        <f>K38</f>
        <v>11.455199999999996</v>
      </c>
      <c r="L44" s="31" t="s">
        <v>262</v>
      </c>
      <c r="M44" s="46">
        <f>M38</f>
        <v>0</v>
      </c>
      <c r="N44" s="47" t="s">
        <v>264</v>
      </c>
      <c r="O44" s="7"/>
      <c r="P44" s="31" t="s">
        <v>252</v>
      </c>
      <c r="Q44" s="111">
        <f>D44*(G44*I44-K44*M44)/10^6</f>
        <v>11.5881627456</v>
      </c>
      <c r="R44" s="111"/>
      <c r="S44" s="49" t="str">
        <f>S38</f>
        <v>mm</v>
      </c>
      <c r="T44" s="7"/>
      <c r="U44" s="1"/>
      <c r="W44" s="53">
        <f>Y44*AB44*(AD44-AF44)/10^6</f>
        <v>10.926240076799997</v>
      </c>
      <c r="X44" s="3" t="s">
        <v>265</v>
      </c>
      <c r="Y44" s="98">
        <f>D44</f>
        <v>3930</v>
      </c>
      <c r="Z44" s="99"/>
      <c r="AA44" s="3" t="s">
        <v>262</v>
      </c>
      <c r="AB44" s="54">
        <f>AB38</f>
        <v>12.193919999999999</v>
      </c>
      <c r="AC44" s="3" t="s">
        <v>266</v>
      </c>
      <c r="AD44" s="3">
        <f>I44</f>
        <v>228</v>
      </c>
      <c r="AE44" s="3" t="s">
        <v>263</v>
      </c>
      <c r="AF44" s="3">
        <f>M44</f>
        <v>0</v>
      </c>
      <c r="AG44" s="52" t="str">
        <f>N44</f>
        <v>)  /  10^6</v>
      </c>
    </row>
    <row r="45" spans="1:21" ht="11.25" customHeight="1">
      <c r="A45" s="3">
        <v>43</v>
      </c>
      <c r="B45" s="68" t="str">
        <f>" "&amp;W36&amp;"  at  "&amp;G12</f>
        <v> Displacement  at  Td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33" ht="11.25" customHeight="1">
      <c r="A46" s="3">
        <v>44</v>
      </c>
      <c r="B46" s="45" t="str">
        <f>W31&amp;"d"</f>
        <v>Δd</v>
      </c>
      <c r="C46" s="7" t="s">
        <v>252</v>
      </c>
      <c r="D46" s="105">
        <f>D44</f>
        <v>3930</v>
      </c>
      <c r="E46" s="105"/>
      <c r="F46" s="31" t="s">
        <v>261</v>
      </c>
      <c r="G46" s="46">
        <f>G40</f>
        <v>13.139999999999999</v>
      </c>
      <c r="H46" s="31" t="s">
        <v>262</v>
      </c>
      <c r="I46" s="46">
        <f>I40</f>
        <v>275</v>
      </c>
      <c r="J46" s="31" t="s">
        <v>263</v>
      </c>
      <c r="K46" s="46">
        <f>K40</f>
        <v>11.455199999999996</v>
      </c>
      <c r="L46" s="31" t="s">
        <v>262</v>
      </c>
      <c r="M46" s="46">
        <f>M40</f>
        <v>0</v>
      </c>
      <c r="N46" s="47" t="s">
        <v>264</v>
      </c>
      <c r="O46" s="7"/>
      <c r="P46" s="31" t="s">
        <v>252</v>
      </c>
      <c r="Q46" s="111">
        <f>D46*(G46*I46-K46*M46)/10^6</f>
        <v>14.201054999999998</v>
      </c>
      <c r="R46" s="111"/>
      <c r="S46" s="49" t="str">
        <f>S40</f>
        <v>mm</v>
      </c>
      <c r="T46" s="7"/>
      <c r="U46" s="1"/>
      <c r="W46" s="53">
        <f>Y46*AB46*(AD46-AF46)/10^6</f>
        <v>13.34315565</v>
      </c>
      <c r="X46" s="3" t="s">
        <v>265</v>
      </c>
      <c r="Y46" s="98">
        <f>D46</f>
        <v>3930</v>
      </c>
      <c r="Z46" s="99"/>
      <c r="AA46" s="3" t="s">
        <v>262</v>
      </c>
      <c r="AB46" s="54">
        <f>AB40</f>
        <v>12.3462</v>
      </c>
      <c r="AC46" s="3" t="s">
        <v>266</v>
      </c>
      <c r="AD46" s="3">
        <f>I46</f>
        <v>275</v>
      </c>
      <c r="AE46" s="3" t="s">
        <v>263</v>
      </c>
      <c r="AF46" s="3">
        <f>M46</f>
        <v>0</v>
      </c>
      <c r="AG46" s="52" t="str">
        <f>N46</f>
        <v>)  /  10^6</v>
      </c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44" t="str">
        <f>" "&amp;W36&amp;" of the Point, "&amp;P24&amp;", relative to "&amp;D24&amp;"."</f>
        <v> Displacement of the Point, " B ", relative to Fixed Point.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6" t="str">
        <f>B43</f>
        <v> Displacement  at  To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1.25" customHeight="1">
      <c r="A50" s="3">
        <v>48</v>
      </c>
      <c r="B50" s="45" t="str">
        <f>B44</f>
        <v>Δo</v>
      </c>
      <c r="C50" s="7" t="s">
        <v>292</v>
      </c>
      <c r="D50" s="7"/>
      <c r="E50" s="7"/>
      <c r="F50" s="7"/>
      <c r="G50" s="7"/>
      <c r="H50" s="7"/>
      <c r="I50" s="7"/>
      <c r="J50" s="7"/>
      <c r="K50" s="112">
        <f>Q38</f>
        <v>13.917589862400002</v>
      </c>
      <c r="L50" s="95"/>
      <c r="M50" s="31" t="s">
        <v>293</v>
      </c>
      <c r="N50" s="112">
        <f>Q44</f>
        <v>11.5881627456</v>
      </c>
      <c r="O50" s="95"/>
      <c r="P50" s="31" t="s">
        <v>252</v>
      </c>
      <c r="Q50" s="104">
        <f>K50+N50</f>
        <v>25.505752608</v>
      </c>
      <c r="R50" s="104"/>
      <c r="S50" s="49" t="str">
        <f>S44</f>
        <v>mm</v>
      </c>
      <c r="T50" s="7"/>
      <c r="U50" s="1"/>
    </row>
    <row r="51" spans="1:21" ht="11.25" customHeight="1">
      <c r="A51" s="3">
        <v>49</v>
      </c>
      <c r="B51" s="6" t="str">
        <f>B45</f>
        <v> Displacement  at  Td</v>
      </c>
      <c r="C51" s="7"/>
      <c r="D51" s="7"/>
      <c r="E51" s="7"/>
      <c r="F51" s="7"/>
      <c r="G51" s="7"/>
      <c r="H51" s="7"/>
      <c r="I51" s="7"/>
      <c r="J51" s="7"/>
      <c r="K51" s="7"/>
      <c r="L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45" t="str">
        <f>B46</f>
        <v>Δd</v>
      </c>
      <c r="C52" s="7" t="s">
        <v>292</v>
      </c>
      <c r="D52" s="7"/>
      <c r="E52" s="7"/>
      <c r="F52" s="7"/>
      <c r="G52" s="7"/>
      <c r="H52" s="7"/>
      <c r="I52" s="7"/>
      <c r="J52" s="7"/>
      <c r="K52" s="112">
        <f>Q40</f>
        <v>17.055719999999997</v>
      </c>
      <c r="L52" s="95"/>
      <c r="M52" s="31" t="s">
        <v>293</v>
      </c>
      <c r="N52" s="112">
        <f>Q46</f>
        <v>14.201054999999998</v>
      </c>
      <c r="O52" s="95"/>
      <c r="P52" s="31" t="s">
        <v>252</v>
      </c>
      <c r="Q52" s="104">
        <f>K52+N52</f>
        <v>31.256774999999998</v>
      </c>
      <c r="R52" s="104"/>
      <c r="S52" s="49" t="str">
        <f>S46</f>
        <v>mm</v>
      </c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101" t="s">
        <v>267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3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268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50" t="s">
        <v>269</v>
      </c>
      <c r="C58" s="7" t="s">
        <v>270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50" t="s">
        <v>271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50" t="s">
        <v>272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50" t="s">
        <v>273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1" t="s">
        <v>274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335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333</v>
      </c>
    </row>
    <row r="64" ht="11.25" customHeight="1">
      <c r="A64" s="3"/>
    </row>
    <row r="65" ht="11.25" customHeight="1">
      <c r="A65" s="3"/>
    </row>
  </sheetData>
  <mergeCells count="36">
    <mergeCell ref="N50:O50"/>
    <mergeCell ref="N52:O52"/>
    <mergeCell ref="K50:L50"/>
    <mergeCell ref="K52:L52"/>
    <mergeCell ref="Y44:Z44"/>
    <mergeCell ref="D46:E46"/>
    <mergeCell ref="Q46:R46"/>
    <mergeCell ref="Y46:Z46"/>
    <mergeCell ref="B54:U54"/>
    <mergeCell ref="B28:U28"/>
    <mergeCell ref="Q38:R38"/>
    <mergeCell ref="D40:E40"/>
    <mergeCell ref="Q40:R40"/>
    <mergeCell ref="D38:E38"/>
    <mergeCell ref="D44:E44"/>
    <mergeCell ref="Q44:R44"/>
    <mergeCell ref="Q50:R50"/>
    <mergeCell ref="Q52:R52"/>
    <mergeCell ref="Y38:Z38"/>
    <mergeCell ref="Y40:Z40"/>
    <mergeCell ref="B15:U15"/>
    <mergeCell ref="G24:H24"/>
    <mergeCell ref="M24:N24"/>
    <mergeCell ref="J26:K26"/>
    <mergeCell ref="J24:K24"/>
    <mergeCell ref="P24:Q24"/>
    <mergeCell ref="B1:U2"/>
    <mergeCell ref="R3:U3"/>
    <mergeCell ref="R4:U4"/>
    <mergeCell ref="R5:U5"/>
    <mergeCell ref="R7:U7"/>
    <mergeCell ref="B9:U9"/>
    <mergeCell ref="B11:D13"/>
    <mergeCell ref="H11:I11"/>
    <mergeCell ref="H12:I12"/>
    <mergeCell ref="H13:I13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R65"/>
  <sheetViews>
    <sheetView zoomScaleSheetLayoutView="100" workbookViewId="0" topLeftCell="A1">
      <selection activeCell="O8" sqref="O8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2:21" ht="11.25" customHeight="1">
      <c r="B1" s="88" t="s">
        <v>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2:21" ht="11.2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75"/>
    </row>
    <row r="3" spans="1:21" ht="11.25" customHeight="1">
      <c r="A3" s="3">
        <v>1</v>
      </c>
      <c r="B3" s="4" t="s">
        <v>294</v>
      </c>
      <c r="C3" s="5"/>
      <c r="D3" s="5"/>
      <c r="E3" s="21" t="s">
        <v>200</v>
      </c>
      <c r="F3" s="5"/>
      <c r="G3" s="5"/>
      <c r="H3" s="5"/>
      <c r="I3" s="5"/>
      <c r="J3" s="5"/>
      <c r="K3" s="5"/>
      <c r="L3" s="5"/>
      <c r="M3" s="5"/>
      <c r="N3" s="5"/>
      <c r="O3" s="5"/>
      <c r="P3" s="20" t="s">
        <v>275</v>
      </c>
      <c r="Q3" s="11"/>
      <c r="R3" s="93" t="s">
        <v>220</v>
      </c>
      <c r="S3" s="93"/>
      <c r="T3" s="93"/>
      <c r="U3" s="94"/>
    </row>
    <row r="4" spans="1:21" ht="11.25" customHeight="1">
      <c r="A4" s="3">
        <v>2</v>
      </c>
      <c r="B4" s="6" t="s">
        <v>295</v>
      </c>
      <c r="C4" s="7"/>
      <c r="D4" s="7"/>
      <c r="E4" s="22" t="s">
        <v>201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123</v>
      </c>
      <c r="Q4" s="7"/>
      <c r="R4" s="95" t="s">
        <v>316</v>
      </c>
      <c r="S4" s="95"/>
      <c r="T4" s="95"/>
      <c r="U4" s="96"/>
    </row>
    <row r="5" spans="1:21" ht="11.25" customHeight="1">
      <c r="A5" s="3">
        <v>3</v>
      </c>
      <c r="B5" s="6" t="s">
        <v>296</v>
      </c>
      <c r="C5" s="7"/>
      <c r="D5" s="7"/>
      <c r="E5" s="22" t="s">
        <v>202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297</v>
      </c>
      <c r="Q5" s="7"/>
      <c r="R5" s="87" t="s">
        <v>332</v>
      </c>
      <c r="S5" s="87"/>
      <c r="T5" s="87"/>
      <c r="U5" s="97"/>
    </row>
    <row r="6" spans="1:21" ht="11.25" customHeight="1">
      <c r="A6" s="3">
        <v>4</v>
      </c>
      <c r="B6" s="9"/>
      <c r="C6" s="8"/>
      <c r="D6" s="8"/>
      <c r="E6" s="23"/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298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299</v>
      </c>
      <c r="C7" s="11"/>
      <c r="D7" s="11"/>
      <c r="E7" s="20" t="s">
        <v>280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300</v>
      </c>
      <c r="Q7" s="11"/>
      <c r="R7" s="76" t="s">
        <v>281</v>
      </c>
      <c r="S7" s="76"/>
      <c r="T7" s="76"/>
      <c r="U7" s="77"/>
    </row>
    <row r="8" spans="1:21" ht="11.25" customHeight="1">
      <c r="A8" s="3">
        <v>6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78" t="s">
        <v>17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3" ht="11.25" customHeight="1">
      <c r="A10" s="3">
        <v>8</v>
      </c>
      <c r="B10" s="4" t="s">
        <v>301</v>
      </c>
      <c r="C10" s="5"/>
      <c r="D10" s="5"/>
      <c r="E10" s="21" t="s">
        <v>302</v>
      </c>
      <c r="F10" s="5"/>
      <c r="G10" s="5"/>
      <c r="H10" s="5"/>
      <c r="I10" s="5"/>
      <c r="J10" s="5"/>
      <c r="K10" s="5"/>
      <c r="L10" s="10" t="s">
        <v>277</v>
      </c>
      <c r="M10" s="5"/>
      <c r="N10" s="5"/>
      <c r="O10" s="5"/>
      <c r="P10" s="5"/>
      <c r="Q10" s="5" t="s">
        <v>26</v>
      </c>
      <c r="R10" s="5"/>
      <c r="S10" s="5"/>
      <c r="T10" s="5"/>
      <c r="U10" s="13"/>
      <c r="W10" s="32" t="s">
        <v>29</v>
      </c>
    </row>
    <row r="11" spans="1:23" ht="11.25" customHeight="1">
      <c r="A11" s="3">
        <v>9</v>
      </c>
      <c r="B11" s="81" t="s">
        <v>19</v>
      </c>
      <c r="C11" s="82"/>
      <c r="D11" s="82"/>
      <c r="E11" s="7" t="s">
        <v>303</v>
      </c>
      <c r="F11" s="7"/>
      <c r="G11" s="30" t="s">
        <v>48</v>
      </c>
      <c r="H11" s="87">
        <v>228</v>
      </c>
      <c r="I11" s="87"/>
      <c r="J11" s="7" t="s">
        <v>24</v>
      </c>
      <c r="K11" s="7"/>
      <c r="L11" s="6" t="s">
        <v>317</v>
      </c>
      <c r="M11" s="7"/>
      <c r="N11" s="7"/>
      <c r="O11" s="22" t="s">
        <v>318</v>
      </c>
      <c r="P11" s="7"/>
      <c r="Q11" s="7" t="s">
        <v>279</v>
      </c>
      <c r="R11" s="7"/>
      <c r="S11" s="7"/>
      <c r="T11" s="7"/>
      <c r="U11" s="1"/>
      <c r="W11" s="2" t="s">
        <v>278</v>
      </c>
    </row>
    <row r="12" spans="1:23" ht="11.25" customHeight="1">
      <c r="A12" s="3">
        <v>10</v>
      </c>
      <c r="B12" s="83"/>
      <c r="C12" s="84"/>
      <c r="D12" s="84"/>
      <c r="E12" s="7" t="s">
        <v>304</v>
      </c>
      <c r="F12" s="7"/>
      <c r="G12" s="30" t="s">
        <v>49</v>
      </c>
      <c r="H12" s="87">
        <v>275</v>
      </c>
      <c r="I12" s="87"/>
      <c r="J12" s="7" t="str">
        <f>J11</f>
        <v>℃</v>
      </c>
      <c r="K12" s="7"/>
      <c r="L12" s="6"/>
      <c r="M12" s="7"/>
      <c r="N12" s="7"/>
      <c r="O12" s="22" t="s">
        <v>319</v>
      </c>
      <c r="P12" s="7"/>
      <c r="Q12" s="7" t="s">
        <v>320</v>
      </c>
      <c r="R12" s="7"/>
      <c r="S12" s="7"/>
      <c r="T12" s="7"/>
      <c r="U12" s="1"/>
      <c r="W12" s="2" t="s">
        <v>27</v>
      </c>
    </row>
    <row r="13" spans="1:21" ht="11.25" customHeight="1">
      <c r="A13" s="3">
        <v>11</v>
      </c>
      <c r="B13" s="85"/>
      <c r="C13" s="86"/>
      <c r="D13" s="86"/>
      <c r="E13" s="7" t="s">
        <v>305</v>
      </c>
      <c r="F13" s="7"/>
      <c r="G13" s="30" t="s">
        <v>47</v>
      </c>
      <c r="H13" s="87">
        <v>10</v>
      </c>
      <c r="I13" s="87"/>
      <c r="J13" s="7" t="str">
        <f>J11</f>
        <v>℃</v>
      </c>
      <c r="K13" s="7"/>
      <c r="L13" s="81" t="str">
        <f>" "&amp;O11</f>
        <v> Tube</v>
      </c>
      <c r="M13" s="82"/>
      <c r="N13" s="7"/>
      <c r="O13" s="7" t="s">
        <v>321</v>
      </c>
      <c r="P13" s="7"/>
      <c r="Q13" s="22">
        <v>76.2</v>
      </c>
      <c r="R13" s="7" t="s">
        <v>38</v>
      </c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117"/>
      <c r="M14" s="118"/>
      <c r="N14" s="7"/>
      <c r="O14" s="7" t="s">
        <v>322</v>
      </c>
      <c r="P14" s="7"/>
      <c r="Q14" s="22">
        <v>5</v>
      </c>
      <c r="R14" s="7" t="s">
        <v>38</v>
      </c>
      <c r="S14" s="7"/>
      <c r="T14" s="7"/>
      <c r="U14" s="1"/>
    </row>
    <row r="15" spans="1:21" ht="11.25" customHeight="1">
      <c r="A15" s="3">
        <v>13</v>
      </c>
      <c r="B15" s="78" t="s">
        <v>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44" ht="11.25" customHeight="1">
      <c r="A16" s="3">
        <v>14</v>
      </c>
      <c r="B16" s="34"/>
      <c r="C16" s="35"/>
      <c r="D16" s="35"/>
      <c r="E16" s="35"/>
      <c r="F16" s="35"/>
      <c r="G16" s="35"/>
      <c r="H16" s="35"/>
      <c r="I16" s="35"/>
      <c r="J16" s="35"/>
      <c r="K16" s="121" t="s">
        <v>325</v>
      </c>
      <c r="L16" s="121"/>
      <c r="M16" s="35"/>
      <c r="N16" s="35"/>
      <c r="O16" s="35"/>
      <c r="P16" s="35"/>
      <c r="Q16" s="35"/>
      <c r="R16" s="35"/>
      <c r="S16" s="35"/>
      <c r="T16" s="35"/>
      <c r="U16" s="36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</row>
    <row r="17" spans="1:44" ht="11.25" customHeight="1">
      <c r="A17" s="3">
        <v>15</v>
      </c>
      <c r="B17" s="37"/>
      <c r="C17" s="19"/>
      <c r="D17" s="19"/>
      <c r="E17" s="19"/>
      <c r="F17" s="19"/>
      <c r="G17" s="19"/>
      <c r="H17" s="19"/>
      <c r="I17" s="19"/>
      <c r="J17" s="19"/>
      <c r="K17" s="113">
        <f>K26-J25</f>
        <v>71.2</v>
      </c>
      <c r="L17" s="113"/>
      <c r="M17" s="19"/>
      <c r="N17" s="19"/>
      <c r="O17" s="19"/>
      <c r="P17" s="19"/>
      <c r="Q17" s="19"/>
      <c r="R17" s="19"/>
      <c r="S17" s="19"/>
      <c r="T17" s="19"/>
      <c r="U17" s="38"/>
      <c r="Y17" s="37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38"/>
    </row>
    <row r="18" spans="1:44" ht="11.25" customHeight="1">
      <c r="A18" s="3">
        <v>16</v>
      </c>
      <c r="B18" s="3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8"/>
      <c r="Y18" s="37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38"/>
    </row>
    <row r="19" spans="1:44" ht="11.25" customHeight="1">
      <c r="A19" s="3">
        <v>17</v>
      </c>
      <c r="B19" s="3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8"/>
      <c r="Y19" s="37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38"/>
    </row>
    <row r="20" spans="1:44" ht="11.25" customHeight="1">
      <c r="A20" s="3">
        <v>18</v>
      </c>
      <c r="B20" s="37"/>
      <c r="C20" s="19"/>
      <c r="D20" s="19"/>
      <c r="E20" s="19"/>
      <c r="F20" s="19"/>
      <c r="G20" s="19"/>
      <c r="H20" s="64" t="str">
        <f>O12</f>
        <v>Fin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8"/>
      <c r="Y20" s="37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38"/>
    </row>
    <row r="21" spans="1:44" ht="11.25" customHeight="1">
      <c r="A21" s="3">
        <v>19</v>
      </c>
      <c r="B21" s="3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38"/>
      <c r="Y21" s="37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38"/>
    </row>
    <row r="22" spans="1:44" ht="11.25" customHeight="1">
      <c r="A22" s="3">
        <v>20</v>
      </c>
      <c r="B22" s="37"/>
      <c r="C22" s="19"/>
      <c r="D22" s="19"/>
      <c r="E22" s="19"/>
      <c r="F22" s="19"/>
      <c r="G22" s="19"/>
      <c r="H22" s="64" t="str">
        <f>O11</f>
        <v>Tube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8"/>
      <c r="Y22" s="37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38"/>
    </row>
    <row r="23" spans="1:44" ht="11.25" customHeight="1">
      <c r="A23" s="3">
        <v>21</v>
      </c>
      <c r="B23" s="3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8"/>
      <c r="Y23" s="37"/>
      <c r="Z23" s="19"/>
      <c r="AA23" s="19"/>
      <c r="AB23" s="19"/>
      <c r="AG23" s="19"/>
      <c r="AH23" s="19"/>
      <c r="AM23" s="19"/>
      <c r="AN23" s="19"/>
      <c r="AO23" s="19"/>
      <c r="AP23" s="19"/>
      <c r="AQ23" s="19"/>
      <c r="AR23" s="38"/>
    </row>
    <row r="24" spans="1:44" ht="11.25" customHeight="1">
      <c r="A24" s="3">
        <v>22</v>
      </c>
      <c r="B24" s="37"/>
      <c r="C24" s="19"/>
      <c r="D24" s="19"/>
      <c r="E24" s="19"/>
      <c r="F24" s="19"/>
      <c r="G24" s="19"/>
      <c r="H24" s="19"/>
      <c r="I24" s="19"/>
      <c r="J24" s="19"/>
      <c r="K24" s="116" t="s">
        <v>324</v>
      </c>
      <c r="L24" s="116"/>
      <c r="M24" s="19"/>
      <c r="N24" s="19"/>
      <c r="O24" s="19"/>
      <c r="P24" s="19"/>
      <c r="Q24" s="116"/>
      <c r="R24" s="116"/>
      <c r="S24" s="19"/>
      <c r="T24" s="19"/>
      <c r="U24" s="38"/>
      <c r="Y24" s="37"/>
      <c r="Z24" s="19"/>
      <c r="AA24" s="25" t="s">
        <v>291</v>
      </c>
      <c r="AB24" s="19"/>
      <c r="AC24" s="43" t="str">
        <f>W26&amp;"  ="</f>
        <v>L  =</v>
      </c>
      <c r="AD24" s="100">
        <v>4720</v>
      </c>
      <c r="AE24" s="100"/>
      <c r="AF24" s="19" t="s">
        <v>38</v>
      </c>
      <c r="AG24" s="110" t="s">
        <v>204</v>
      </c>
      <c r="AH24" s="110"/>
      <c r="AI24" s="19"/>
      <c r="AJ24" s="19"/>
      <c r="AK24" s="19"/>
      <c r="AL24" s="19"/>
      <c r="AM24" s="19"/>
      <c r="AN24" s="19"/>
      <c r="AO24" s="19"/>
      <c r="AP24" s="19"/>
      <c r="AQ24" s="19"/>
      <c r="AR24" s="38"/>
    </row>
    <row r="25" spans="1:44" ht="11.25" customHeight="1">
      <c r="A25" s="3">
        <v>23</v>
      </c>
      <c r="B25" s="37"/>
      <c r="C25" s="19"/>
      <c r="D25" s="19"/>
      <c r="E25" s="65" t="s">
        <v>323</v>
      </c>
      <c r="F25" s="19"/>
      <c r="G25" s="19"/>
      <c r="H25" s="19"/>
      <c r="I25" s="19"/>
      <c r="J25" s="16">
        <f>Q14</f>
        <v>5</v>
      </c>
      <c r="K25" s="113">
        <f>K26-J25-M25</f>
        <v>66.2</v>
      </c>
      <c r="L25" s="113"/>
      <c r="M25" s="16">
        <f>J25</f>
        <v>5</v>
      </c>
      <c r="N25" s="19"/>
      <c r="O25" s="19"/>
      <c r="P25" s="16"/>
      <c r="Q25" s="113"/>
      <c r="R25" s="113"/>
      <c r="S25" s="16"/>
      <c r="T25" s="19"/>
      <c r="U25" s="38"/>
      <c r="W25" s="32" t="s">
        <v>306</v>
      </c>
      <c r="Y25" s="3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38"/>
    </row>
    <row r="26" spans="1:44" ht="11.25" customHeight="1">
      <c r="A26" s="3">
        <v>24</v>
      </c>
      <c r="B26" s="37"/>
      <c r="C26" s="19"/>
      <c r="D26" s="16">
        <f>E26</f>
        <v>105</v>
      </c>
      <c r="E26" s="69">
        <v>105</v>
      </c>
      <c r="F26" s="16">
        <f>E26</f>
        <v>105</v>
      </c>
      <c r="G26" s="19"/>
      <c r="H26" s="19"/>
      <c r="I26" s="19"/>
      <c r="J26" s="16">
        <f>(E26-K26)/2</f>
        <v>14.399999999999999</v>
      </c>
      <c r="K26" s="113">
        <f>Q13</f>
        <v>76.2</v>
      </c>
      <c r="L26" s="113"/>
      <c r="M26" s="16">
        <f>J26</f>
        <v>14.399999999999999</v>
      </c>
      <c r="N26" s="19"/>
      <c r="O26" s="19"/>
      <c r="P26" s="16"/>
      <c r="Q26" s="113"/>
      <c r="R26" s="113"/>
      <c r="S26" s="16"/>
      <c r="T26" s="19"/>
      <c r="U26" s="38"/>
      <c r="W26" s="48" t="s">
        <v>307</v>
      </c>
      <c r="Y26" s="37"/>
      <c r="Z26" s="19"/>
      <c r="AA26" s="19"/>
      <c r="AB26" s="19"/>
      <c r="AC26" s="19"/>
      <c r="AD26" s="19"/>
      <c r="AE26" s="19"/>
      <c r="AK26" s="19"/>
      <c r="AL26" s="19"/>
      <c r="AM26" s="19"/>
      <c r="AN26" s="19"/>
      <c r="AO26" s="19"/>
      <c r="AP26" s="19"/>
      <c r="AQ26" s="19"/>
      <c r="AR26" s="38"/>
    </row>
    <row r="27" spans="1:44" ht="11.25" customHeight="1">
      <c r="A27" s="3">
        <v>25</v>
      </c>
      <c r="B27" s="6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63"/>
      <c r="Y27" s="3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38"/>
    </row>
    <row r="28" spans="1:21" ht="11.25" customHeight="1">
      <c r="A28" s="3">
        <v>26</v>
      </c>
      <c r="B28" s="78" t="s">
        <v>32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</row>
    <row r="29" spans="1:23" ht="11.25" customHeight="1">
      <c r="A29" s="3">
        <v>27</v>
      </c>
      <c r="B29" s="6" t="s">
        <v>52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  <c r="W29" s="32" t="s">
        <v>66</v>
      </c>
    </row>
    <row r="30" spans="1:21" ht="11.25" customHeight="1">
      <c r="A30" s="3">
        <v>28</v>
      </c>
      <c r="B30" s="42" t="s">
        <v>35</v>
      </c>
      <c r="C30" s="7" t="s">
        <v>36</v>
      </c>
      <c r="D30" s="7" t="str">
        <f>W26&amp;"  x  (  "&amp;K32&amp;"  x  "&amp;K33&amp;"  -  "&amp;K34&amp;"  x  "&amp;K35&amp;"  )"</f>
        <v>L  x  (  αT  x  T  -  αTa  x  Ta  )</v>
      </c>
      <c r="E30" s="7"/>
      <c r="F30" s="7"/>
      <c r="G30" s="7"/>
      <c r="H30" s="7"/>
      <c r="I30" s="7"/>
      <c r="J30" s="40" t="s">
        <v>46</v>
      </c>
      <c r="K30" s="39" t="str">
        <f>B30</f>
        <v>Δ</v>
      </c>
      <c r="L30" s="7" t="s">
        <v>39</v>
      </c>
      <c r="M30" s="7"/>
      <c r="N30" s="7"/>
      <c r="O30" s="7"/>
      <c r="P30" s="7"/>
      <c r="Q30" s="7"/>
      <c r="R30" s="7" t="s">
        <v>38</v>
      </c>
      <c r="S30" s="7"/>
      <c r="T30" s="7"/>
      <c r="U30" s="1"/>
    </row>
    <row r="31" spans="1:41" ht="11.25" customHeight="1">
      <c r="A31" s="3">
        <v>29</v>
      </c>
      <c r="B31" s="6"/>
      <c r="C31" s="7"/>
      <c r="D31" s="7"/>
      <c r="E31" s="7"/>
      <c r="F31" s="7"/>
      <c r="G31" s="7"/>
      <c r="H31" s="7"/>
      <c r="I31" s="7"/>
      <c r="J31" s="7"/>
      <c r="K31" s="30" t="str">
        <f>W26</f>
        <v>L</v>
      </c>
      <c r="L31" s="7" t="s">
        <v>37</v>
      </c>
      <c r="M31" s="7"/>
      <c r="N31" s="7"/>
      <c r="O31" s="7"/>
      <c r="P31" s="7"/>
      <c r="Q31" s="7"/>
      <c r="R31" s="7" t="str">
        <f>R30</f>
        <v>mm</v>
      </c>
      <c r="S31" s="7"/>
      <c r="T31" s="7"/>
      <c r="U31" s="1"/>
      <c r="W31" s="42" t="s">
        <v>35</v>
      </c>
      <c r="X31" s="7" t="s">
        <v>36</v>
      </c>
      <c r="Y31" s="7" t="str">
        <f>W26&amp;"  x  "&amp;AE33&amp;"  x  (  "&amp;AE34&amp;"  -  "&amp;AE35&amp;"  )"</f>
        <v>L  x  αm  x  (  T  -  Ta  )</v>
      </c>
      <c r="Z31" s="7"/>
      <c r="AA31" s="7"/>
      <c r="AB31" s="7"/>
      <c r="AC31" s="7"/>
      <c r="AD31" s="40" t="s">
        <v>46</v>
      </c>
      <c r="AE31" s="39" t="str">
        <f>W31</f>
        <v>Δ</v>
      </c>
      <c r="AF31" s="7" t="s">
        <v>39</v>
      </c>
      <c r="AG31" s="7"/>
      <c r="AH31" s="7"/>
      <c r="AI31" s="7"/>
      <c r="AJ31" s="7"/>
      <c r="AK31" s="7"/>
      <c r="AL31" s="7"/>
      <c r="AM31" s="7"/>
      <c r="AN31" s="7" t="s">
        <v>38</v>
      </c>
      <c r="AO31" s="7"/>
    </row>
    <row r="32" spans="1:41" ht="11.25" customHeight="1">
      <c r="A32" s="3">
        <v>30</v>
      </c>
      <c r="B32" s="6"/>
      <c r="C32" s="7"/>
      <c r="D32" s="7"/>
      <c r="E32" s="7"/>
      <c r="F32" s="7"/>
      <c r="G32" s="7"/>
      <c r="H32" s="7"/>
      <c r="I32" s="7"/>
      <c r="J32" s="7"/>
      <c r="K32" s="39" t="s">
        <v>308</v>
      </c>
      <c r="L32" s="7" t="str">
        <f>"Mean Coeff. of Thermal Expansion at "&amp;K33</f>
        <v>Mean Coeff. of Thermal Expansion at T</v>
      </c>
      <c r="M32" s="7"/>
      <c r="N32" s="7"/>
      <c r="O32" s="7"/>
      <c r="P32" s="7"/>
      <c r="Q32" s="7"/>
      <c r="R32" s="7" t="str">
        <f>"mm / mm / "&amp;R33&amp;" x 10^6"</f>
        <v>mm / mm / ℃ x 10^6</v>
      </c>
      <c r="S32" s="7"/>
      <c r="T32" s="7"/>
      <c r="U32" s="1"/>
      <c r="W32" s="6"/>
      <c r="X32" s="7"/>
      <c r="Y32" s="7"/>
      <c r="Z32" s="7"/>
      <c r="AA32" s="7"/>
      <c r="AB32" s="7"/>
      <c r="AC32" s="7"/>
      <c r="AD32" s="7"/>
      <c r="AE32" s="30" t="str">
        <f>W26</f>
        <v>L</v>
      </c>
      <c r="AF32" s="7" t="s">
        <v>37</v>
      </c>
      <c r="AG32" s="7"/>
      <c r="AH32" s="7"/>
      <c r="AI32" s="7"/>
      <c r="AJ32" s="7"/>
      <c r="AK32" s="7"/>
      <c r="AL32" s="7"/>
      <c r="AM32" s="7"/>
      <c r="AN32" s="7" t="str">
        <f>AN31</f>
        <v>mm</v>
      </c>
      <c r="AO32" s="7"/>
    </row>
    <row r="33" spans="1:4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30" t="s">
        <v>13</v>
      </c>
      <c r="L33" s="7" t="str">
        <f>E11&amp;" or "&amp;E12&amp;" Temperature"</f>
        <v>Oper. or Design Temperature</v>
      </c>
      <c r="M33" s="7"/>
      <c r="N33" s="7"/>
      <c r="O33" s="7"/>
      <c r="P33" s="7"/>
      <c r="Q33" s="7"/>
      <c r="R33" s="41" t="str">
        <f>J11</f>
        <v>℃</v>
      </c>
      <c r="S33" s="7"/>
      <c r="T33" s="7"/>
      <c r="U33" s="1"/>
      <c r="W33" s="6"/>
      <c r="X33" s="7"/>
      <c r="Y33" s="7"/>
      <c r="Z33" s="7"/>
      <c r="AA33" s="7"/>
      <c r="AB33" s="7"/>
      <c r="AC33" s="7"/>
      <c r="AD33" s="7"/>
      <c r="AE33" s="39" t="s">
        <v>67</v>
      </c>
      <c r="AF33" s="7" t="s">
        <v>68</v>
      </c>
      <c r="AG33" s="7"/>
      <c r="AH33" s="7"/>
      <c r="AI33" s="7"/>
      <c r="AJ33" s="7"/>
      <c r="AK33" s="7"/>
      <c r="AL33" s="7"/>
      <c r="AM33" s="7"/>
      <c r="AN33" s="7" t="str">
        <f>"mm / mm / "&amp;AN34&amp;" x 10^6"</f>
        <v>mm / mm / ℃ x 10^6</v>
      </c>
      <c r="AO33" s="7"/>
    </row>
    <row r="34" spans="1:4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39" t="s">
        <v>309</v>
      </c>
      <c r="L34" s="7" t="str">
        <f>"Mean Coeff. of Thermal Expansion at "&amp;K35</f>
        <v>Mean Coeff. of Thermal Expansion at Ta</v>
      </c>
      <c r="M34" s="7"/>
      <c r="N34" s="7"/>
      <c r="O34" s="7"/>
      <c r="P34" s="7"/>
      <c r="Q34" s="7"/>
      <c r="R34" s="7" t="str">
        <f>"mm / mm / "&amp;R33&amp;" x 10^6"</f>
        <v>mm / mm / ℃ x 10^6</v>
      </c>
      <c r="S34" s="7"/>
      <c r="T34" s="7"/>
      <c r="U34" s="1"/>
      <c r="W34" s="6"/>
      <c r="X34" s="7"/>
      <c r="Y34" s="7"/>
      <c r="Z34" s="7"/>
      <c r="AA34" s="7"/>
      <c r="AB34" s="7"/>
      <c r="AC34" s="7"/>
      <c r="AD34" s="7"/>
      <c r="AE34" s="30" t="s">
        <v>13</v>
      </c>
      <c r="AF34" s="7" t="str">
        <f>E11&amp;" or "&amp;E12&amp;" Temperature"</f>
        <v>Oper. or Design Temperature</v>
      </c>
      <c r="AG34" s="7"/>
      <c r="AH34" s="7"/>
      <c r="AI34" s="7"/>
      <c r="AJ34" s="7"/>
      <c r="AK34" s="7"/>
      <c r="AL34" s="7"/>
      <c r="AM34" s="7"/>
      <c r="AN34" s="41" t="str">
        <f>J11</f>
        <v>℃</v>
      </c>
      <c r="AO34" s="7"/>
    </row>
    <row r="35" spans="1:4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30" t="str">
        <f>G13</f>
        <v>Ta</v>
      </c>
      <c r="L35" s="7" t="str">
        <f>E13&amp;" Temperature"</f>
        <v>Ambient Temperature</v>
      </c>
      <c r="M35" s="7"/>
      <c r="N35" s="7"/>
      <c r="O35" s="7"/>
      <c r="P35" s="7"/>
      <c r="Q35" s="7"/>
      <c r="R35" s="7" t="str">
        <f>R33</f>
        <v>℃</v>
      </c>
      <c r="S35" s="7"/>
      <c r="T35" s="7"/>
      <c r="U35" s="1"/>
      <c r="W35" s="6"/>
      <c r="X35" s="7"/>
      <c r="Y35" s="7"/>
      <c r="Z35" s="7"/>
      <c r="AA35" s="7"/>
      <c r="AB35" s="7"/>
      <c r="AC35" s="7"/>
      <c r="AD35" s="7"/>
      <c r="AE35" s="30" t="str">
        <f>G13</f>
        <v>Ta</v>
      </c>
      <c r="AF35" s="7" t="str">
        <f>E13&amp;" Temperature"</f>
        <v>Ambient Temperature</v>
      </c>
      <c r="AG35" s="7"/>
      <c r="AH35" s="7"/>
      <c r="AI35" s="7"/>
      <c r="AJ35" s="7"/>
      <c r="AK35" s="7"/>
      <c r="AL35" s="7"/>
      <c r="AM35" s="7"/>
      <c r="AN35" s="7" t="str">
        <f>AN34</f>
        <v>℃</v>
      </c>
      <c r="AO35" s="7"/>
    </row>
    <row r="36" spans="1:41" ht="11.25" customHeight="1">
      <c r="A36" s="3">
        <v>34</v>
      </c>
      <c r="B36" s="44" t="str">
        <f>" "&amp;B30&amp;"  at  "&amp;G11</f>
        <v> Δ  at  To</v>
      </c>
      <c r="C36" s="7"/>
      <c r="D36" s="7"/>
      <c r="E36" s="7"/>
      <c r="F36" s="7"/>
      <c r="G36" s="7"/>
      <c r="H36" s="7"/>
      <c r="I36" s="7"/>
      <c r="J36" s="7"/>
      <c r="S36" s="7"/>
      <c r="T36" s="7"/>
      <c r="U36" s="1"/>
      <c r="W36" s="66" t="s">
        <v>310</v>
      </c>
      <c r="X36" s="8"/>
      <c r="Y36" s="8"/>
      <c r="Z36" s="8"/>
      <c r="AA36" s="8"/>
      <c r="AB36" s="8"/>
      <c r="AC36" s="8"/>
      <c r="AD36" s="8"/>
      <c r="AE36" s="8"/>
      <c r="AN36" s="8"/>
      <c r="AO36" s="8"/>
    </row>
    <row r="37" spans="1:28" ht="11.25" customHeight="1">
      <c r="A37" s="3">
        <v>35</v>
      </c>
      <c r="B37" s="44" t="str">
        <f>" "&amp;O12</f>
        <v> Fin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  <c r="AB37" s="55" t="str">
        <f>AE33</f>
        <v>αm</v>
      </c>
    </row>
    <row r="38" spans="1:33" ht="11.25" customHeight="1">
      <c r="A38" s="3">
        <v>36</v>
      </c>
      <c r="B38" s="70" t="str">
        <f>" "&amp;B30&amp;"fin"</f>
        <v> Δfin</v>
      </c>
      <c r="C38" s="7" t="s">
        <v>36</v>
      </c>
      <c r="D38" s="105">
        <f>J25</f>
        <v>5</v>
      </c>
      <c r="E38" s="105"/>
      <c r="F38" s="31" t="s">
        <v>40</v>
      </c>
      <c r="G38" s="46">
        <f>alphaTEMA(mindex(Q12,40),AD44,R33)*IF(R33&lt;&gt;"℉",1,5/9)</f>
        <v>12.93264</v>
      </c>
      <c r="H38" s="31" t="s">
        <v>41</v>
      </c>
      <c r="I38" s="46">
        <f>H11</f>
        <v>228</v>
      </c>
      <c r="J38" s="31" t="s">
        <v>311</v>
      </c>
      <c r="K38" s="46">
        <f>alphaTEMA(mindex(Q12,40),AH44,R35)*IF(R35&lt;&gt;"℉",1,5/9)</f>
        <v>11.519999999999998</v>
      </c>
      <c r="L38" s="31" t="s">
        <v>41</v>
      </c>
      <c r="M38" s="46">
        <f>H13</f>
        <v>10</v>
      </c>
      <c r="N38" s="47" t="s">
        <v>122</v>
      </c>
      <c r="O38" s="7"/>
      <c r="P38" s="31" t="s">
        <v>36</v>
      </c>
      <c r="Q38" s="119">
        <f>D38*(G38*I38-K38*M38)/10^6</f>
        <v>0.014167209600000001</v>
      </c>
      <c r="R38" s="119"/>
      <c r="S38" s="49" t="str">
        <f>R30</f>
        <v>mm</v>
      </c>
      <c r="T38" s="7"/>
      <c r="U38" s="1"/>
      <c r="W38" s="53">
        <f>Y38*AB38*(AD38-AF38)/10^6</f>
        <v>12.5803942272</v>
      </c>
      <c r="X38" s="3" t="s">
        <v>62</v>
      </c>
      <c r="Y38" s="98">
        <f>Y44</f>
        <v>4720</v>
      </c>
      <c r="Z38" s="99"/>
      <c r="AA38" s="3" t="s">
        <v>41</v>
      </c>
      <c r="AB38" s="54">
        <f>alphaTEMA(mindex(Q11,40),(AD38+AF38)/2,AN34)*IF(AN34&lt;&gt;"℉",1,5/9)</f>
        <v>12.22632</v>
      </c>
      <c r="AC38" s="3" t="s">
        <v>64</v>
      </c>
      <c r="AD38" s="3">
        <f>AD44</f>
        <v>228</v>
      </c>
      <c r="AE38" s="3" t="s">
        <v>311</v>
      </c>
      <c r="AF38" s="3">
        <f>AH44</f>
        <v>10</v>
      </c>
      <c r="AG38" s="52" t="str">
        <f>AI44</f>
        <v>)  /  10^6</v>
      </c>
    </row>
    <row r="39" spans="1:21" ht="11.25" customHeight="1">
      <c r="A39" s="3">
        <v>37</v>
      </c>
      <c r="B39" s="44" t="str">
        <f>" "&amp;B30&amp;"tube"</f>
        <v> Δtube</v>
      </c>
      <c r="C39" s="7"/>
      <c r="D39" s="7"/>
      <c r="E39" s="72" t="str">
        <f>K16</f>
        <v>Dm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33" ht="11.25" customHeight="1">
      <c r="A40" s="3">
        <v>38</v>
      </c>
      <c r="B40" s="45" t="str">
        <f>" "&amp;B30&amp;"circ"</f>
        <v> Δcirc</v>
      </c>
      <c r="C40" s="7" t="s">
        <v>36</v>
      </c>
      <c r="D40" s="71" t="s">
        <v>326</v>
      </c>
      <c r="E40" s="46">
        <f>K17</f>
        <v>71.2</v>
      </c>
      <c r="F40" s="31" t="s">
        <v>40</v>
      </c>
      <c r="G40" s="46">
        <f>alphaTEMA(mindex(Q11,40),AD44,R33)*IF(R33&lt;&gt;"℉",1,5/9)</f>
        <v>12.93264</v>
      </c>
      <c r="H40" s="31" t="s">
        <v>41</v>
      </c>
      <c r="I40" s="46">
        <f>H11</f>
        <v>228</v>
      </c>
      <c r="J40" s="31" t="s">
        <v>311</v>
      </c>
      <c r="K40" s="46">
        <f>alphaTEMA(mindex(Q11,40),AH44,R35)*IF(R35&lt;&gt;"℉",1,5/9)</f>
        <v>11.519999999999998</v>
      </c>
      <c r="L40" s="31" t="s">
        <v>41</v>
      </c>
      <c r="M40" s="46">
        <f>H13</f>
        <v>10</v>
      </c>
      <c r="N40" s="47" t="s">
        <v>122</v>
      </c>
      <c r="O40" s="7"/>
      <c r="P40" s="31" t="s">
        <v>36</v>
      </c>
      <c r="Q40" s="119">
        <f>PI()*E40*(G40*I40-K40*M40)/10^6</f>
        <v>0.6337882468014696</v>
      </c>
      <c r="R40" s="119"/>
      <c r="S40" s="49" t="str">
        <f>R30</f>
        <v>mm</v>
      </c>
      <c r="T40" s="7"/>
      <c r="U40" s="1"/>
      <c r="W40" s="53">
        <f>Y40*AB40*(AD40-AF40)/10^6</f>
        <v>15.48315288</v>
      </c>
      <c r="X40" s="3" t="s">
        <v>62</v>
      </c>
      <c r="Y40" s="98">
        <f>Y46</f>
        <v>4720</v>
      </c>
      <c r="Z40" s="99"/>
      <c r="AA40" s="3" t="s">
        <v>41</v>
      </c>
      <c r="AB40" s="54">
        <f>alphaTEMA(mindex(Q11,40),(AD40+AF40)/2,AN34)*IF(AN34&lt;&gt;"℉",1,5/9)</f>
        <v>12.3786</v>
      </c>
      <c r="AC40" s="3" t="s">
        <v>64</v>
      </c>
      <c r="AD40" s="3">
        <f>AD46</f>
        <v>275</v>
      </c>
      <c r="AE40" s="3" t="s">
        <v>311</v>
      </c>
      <c r="AF40" s="3">
        <f>AH46</f>
        <v>10</v>
      </c>
      <c r="AG40" s="52" t="str">
        <f>AI46</f>
        <v>)  /  10^6</v>
      </c>
    </row>
    <row r="41" spans="1:31" ht="11.25" customHeight="1">
      <c r="A41" s="3">
        <v>39</v>
      </c>
      <c r="B41" s="74" t="str">
        <f>" "&amp;K16&amp;" after Expansion"</f>
        <v> Dm after Expansion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T41" s="7"/>
      <c r="U41" s="1"/>
      <c r="X41" s="19"/>
      <c r="Y41" s="19"/>
      <c r="Z41" s="19"/>
      <c r="AA41" s="19"/>
      <c r="AB41" s="19"/>
      <c r="AC41" s="19"/>
      <c r="AD41" s="19"/>
      <c r="AE41" s="19"/>
    </row>
    <row r="42" spans="1:42" ht="11.25" customHeight="1">
      <c r="A42" s="3">
        <v>40</v>
      </c>
      <c r="B42" s="73" t="s">
        <v>327</v>
      </c>
      <c r="C42" s="7" t="s">
        <v>36</v>
      </c>
      <c r="D42" s="7" t="str">
        <f>"(  "&amp;D40&amp;"  "&amp;E39&amp;"  +  "&amp;B40&amp;"  )  /  "&amp;D40</f>
        <v>(  π  Dm  +   Δcirc  )  /  π</v>
      </c>
      <c r="E42" s="7"/>
      <c r="F42" s="7"/>
      <c r="G42" s="7"/>
      <c r="H42" s="7" t="str">
        <f>"= (  "&amp;D40</f>
        <v>= (  π</v>
      </c>
      <c r="I42" s="115">
        <f>E40</f>
        <v>71.2</v>
      </c>
      <c r="J42" s="115"/>
      <c r="K42" s="31" t="s">
        <v>312</v>
      </c>
      <c r="L42" s="120">
        <f>Q40</f>
        <v>0.6337882468014696</v>
      </c>
      <c r="M42" s="120"/>
      <c r="N42" s="7" t="s">
        <v>328</v>
      </c>
      <c r="O42" s="7" t="str">
        <f>D40</f>
        <v>π</v>
      </c>
      <c r="P42" s="31" t="s">
        <v>36</v>
      </c>
      <c r="Q42" s="119">
        <f>(PI()*I42+L42)/PI()</f>
        <v>71.401741064704</v>
      </c>
      <c r="R42" s="119"/>
      <c r="S42" s="7" t="str">
        <f>S40</f>
        <v>mm</v>
      </c>
      <c r="T42" s="7"/>
      <c r="U42" s="1"/>
      <c r="W42" s="44" t="str">
        <f>" "&amp;W36&amp;" of the Point, "&amp;AG24&amp;", relative to "&amp;AA24&amp;"."</f>
        <v> Displacement of the Point, " A ", relative to Fixed Point.</v>
      </c>
      <c r="X42" s="7"/>
      <c r="Y42" s="7"/>
      <c r="Z42" s="7"/>
      <c r="AA42" s="7"/>
      <c r="AB42" s="7"/>
      <c r="AC42" s="7"/>
      <c r="AD42" s="7"/>
      <c r="AE42" s="7"/>
      <c r="AN42" s="7"/>
      <c r="AO42" s="7"/>
      <c r="AP42" s="1"/>
    </row>
    <row r="43" spans="1:42" ht="11.25" customHeight="1">
      <c r="A43" s="3">
        <v>41</v>
      </c>
      <c r="B43" s="74" t="str">
        <f>" Horizontal Elongation of "&amp;O11</f>
        <v> Horizontal Elongation of Tube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  <c r="W43" s="68" t="str">
        <f>" "&amp;W36&amp;"  at  "&amp;G11</f>
        <v> Displacement  at  To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"/>
    </row>
    <row r="44" spans="1:42" ht="11.25" customHeight="1">
      <c r="A44" s="3">
        <v>42</v>
      </c>
      <c r="B44" s="70" t="str">
        <f>" "&amp;B30&amp;"Htb"</f>
        <v> ΔHtb</v>
      </c>
      <c r="C44" s="7" t="s">
        <v>36</v>
      </c>
      <c r="D44" s="31" t="str">
        <f>B42</f>
        <v> Dme</v>
      </c>
      <c r="E44" s="31" t="s">
        <v>329</v>
      </c>
      <c r="F44" s="31" t="str">
        <f>E39</f>
        <v>Dm</v>
      </c>
      <c r="G44" s="31" t="s">
        <v>330</v>
      </c>
      <c r="H44" s="120">
        <f>Q42</f>
        <v>71.401741064704</v>
      </c>
      <c r="I44" s="120"/>
      <c r="J44" s="31" t="s">
        <v>331</v>
      </c>
      <c r="K44" s="95">
        <f>E40</f>
        <v>71.2</v>
      </c>
      <c r="L44" s="95"/>
      <c r="M44" s="7"/>
      <c r="N44" s="7"/>
      <c r="O44" s="7"/>
      <c r="P44" s="31" t="s">
        <v>36</v>
      </c>
      <c r="Q44" s="114">
        <f>H44-K44</f>
        <v>0.20174106470399522</v>
      </c>
      <c r="R44" s="114"/>
      <c r="S44" s="7" t="str">
        <f>S42</f>
        <v>mm</v>
      </c>
      <c r="T44" s="7"/>
      <c r="U44" s="1"/>
      <c r="W44" s="45" t="str">
        <f>B30&amp;"o"</f>
        <v>Δo</v>
      </c>
      <c r="X44" s="7" t="s">
        <v>36</v>
      </c>
      <c r="Y44" s="105">
        <f>AD24</f>
        <v>4720</v>
      </c>
      <c r="Z44" s="105"/>
      <c r="AA44" s="31" t="s">
        <v>40</v>
      </c>
      <c r="AB44" s="46">
        <f>alphaTEMA(mindex(Q11,40),AD44,R33)*IF(R33&lt;&gt;"℉",1,5/9)</f>
        <v>12.93264</v>
      </c>
      <c r="AC44" s="31" t="s">
        <v>41</v>
      </c>
      <c r="AD44" s="46">
        <f>H11</f>
        <v>228</v>
      </c>
      <c r="AE44" s="31" t="s">
        <v>311</v>
      </c>
      <c r="AF44" s="46">
        <f>alphaTEMA(mindex(Q11,40),AH44,R35)*IF(R35&lt;&gt;"℉",1,5/9)</f>
        <v>11.519999999999998</v>
      </c>
      <c r="AG44" s="31" t="s">
        <v>41</v>
      </c>
      <c r="AH44" s="46">
        <f>H13</f>
        <v>10</v>
      </c>
      <c r="AI44" s="47" t="s">
        <v>122</v>
      </c>
      <c r="AJ44" s="7"/>
      <c r="AK44" s="31" t="s">
        <v>36</v>
      </c>
      <c r="AL44" s="104">
        <f>Y44*(AB44*AD44-AF44*AH44)/10^6</f>
        <v>13.373845862400001</v>
      </c>
      <c r="AM44" s="104"/>
      <c r="AN44" s="49" t="str">
        <f>R30</f>
        <v>mm</v>
      </c>
      <c r="AO44" s="7"/>
      <c r="AP44" s="1"/>
    </row>
    <row r="45" spans="1:42" ht="11.25" customHeight="1">
      <c r="A45" s="3">
        <v>43</v>
      </c>
      <c r="B45" s="74" t="str">
        <f>" Horizontal Elongation in case of Plate instead of "&amp;O11</f>
        <v> Horizontal Elongation in case of Plate instead of Tube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  <c r="W45" s="68" t="str">
        <f>" "&amp;W36&amp;"  at  "&amp;G12</f>
        <v> Displacement  at  Td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"/>
    </row>
    <row r="46" spans="1:42" ht="11.25" customHeight="1">
      <c r="A46" s="3">
        <v>44</v>
      </c>
      <c r="B46" s="70" t="str">
        <f>" "&amp;B30&amp;"Hpl"</f>
        <v> ΔHpl</v>
      </c>
      <c r="C46" s="7" t="s">
        <v>36</v>
      </c>
      <c r="D46" s="115">
        <f>E40</f>
        <v>71.2</v>
      </c>
      <c r="E46" s="115"/>
      <c r="F46" s="31" t="s">
        <v>40</v>
      </c>
      <c r="G46" s="46">
        <f>G40</f>
        <v>12.93264</v>
      </c>
      <c r="H46" s="31" t="s">
        <v>41</v>
      </c>
      <c r="I46" s="46">
        <f>I40</f>
        <v>228</v>
      </c>
      <c r="J46" s="31" t="s">
        <v>311</v>
      </c>
      <c r="K46" s="46">
        <f>K40</f>
        <v>11.519999999999998</v>
      </c>
      <c r="L46" s="31" t="s">
        <v>41</v>
      </c>
      <c r="M46" s="46">
        <f>M40</f>
        <v>10</v>
      </c>
      <c r="N46" s="47" t="s">
        <v>122</v>
      </c>
      <c r="O46" s="7"/>
      <c r="P46" s="31" t="s">
        <v>36</v>
      </c>
      <c r="Q46" s="114">
        <f>D46*(G46*I46-K46*M46)/10^6</f>
        <v>0.20174106470400002</v>
      </c>
      <c r="R46" s="114"/>
      <c r="S46" s="49" t="str">
        <f>S40</f>
        <v>mm</v>
      </c>
      <c r="T46" s="7"/>
      <c r="U46" s="1"/>
      <c r="W46" s="45" t="str">
        <f>B30&amp;"d"</f>
        <v>Δd</v>
      </c>
      <c r="X46" s="7" t="s">
        <v>36</v>
      </c>
      <c r="Y46" s="105">
        <f>Y44</f>
        <v>4720</v>
      </c>
      <c r="Z46" s="105"/>
      <c r="AA46" s="31" t="s">
        <v>40</v>
      </c>
      <c r="AB46" s="46">
        <f>alphaTEMA(mindex(Q11,40),AD46,R33)*IF(R33&lt;&gt;"℉",1,5/9)</f>
        <v>13.139999999999999</v>
      </c>
      <c r="AC46" s="31" t="s">
        <v>41</v>
      </c>
      <c r="AD46" s="46">
        <f>H12</f>
        <v>275</v>
      </c>
      <c r="AE46" s="31" t="s">
        <v>311</v>
      </c>
      <c r="AF46" s="46">
        <f>alphaTEMA(mindex(Q11,40),AH46,R35)*IF(R35&lt;&gt;"℉",1,5/9)</f>
        <v>11.519999999999998</v>
      </c>
      <c r="AG46" s="31" t="s">
        <v>41</v>
      </c>
      <c r="AH46" s="46">
        <f>AH44</f>
        <v>10</v>
      </c>
      <c r="AI46" s="47" t="s">
        <v>122</v>
      </c>
      <c r="AJ46" s="7"/>
      <c r="AK46" s="31" t="s">
        <v>36</v>
      </c>
      <c r="AL46" s="104">
        <f>Y46*(AB46*AD46-AF46*AH46)/10^6</f>
        <v>16.511975999999997</v>
      </c>
      <c r="AM46" s="104"/>
      <c r="AN46" s="49" t="str">
        <f>R30</f>
        <v>mm</v>
      </c>
      <c r="AO46" s="7"/>
      <c r="AP46" s="1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101" t="s">
        <v>313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3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314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50" t="s">
        <v>55</v>
      </c>
      <c r="C58" s="7" t="s">
        <v>60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50" t="s">
        <v>315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50" t="s">
        <v>57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50" t="s">
        <v>58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51" t="s">
        <v>59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24" t="s">
        <v>335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5" t="s">
        <v>333</v>
      </c>
    </row>
    <row r="64" ht="11.25" customHeight="1">
      <c r="A64" s="3"/>
    </row>
    <row r="65" ht="11.25" customHeight="1">
      <c r="A65" s="3"/>
    </row>
  </sheetData>
  <mergeCells count="41">
    <mergeCell ref="K44:L44"/>
    <mergeCell ref="H44:I44"/>
    <mergeCell ref="K16:L16"/>
    <mergeCell ref="K17:L17"/>
    <mergeCell ref="K24:L24"/>
    <mergeCell ref="Q42:R42"/>
    <mergeCell ref="L42:M42"/>
    <mergeCell ref="D38:E38"/>
    <mergeCell ref="Q38:R38"/>
    <mergeCell ref="Q40:R40"/>
    <mergeCell ref="I42:J42"/>
    <mergeCell ref="Q25:R25"/>
    <mergeCell ref="Q26:R26"/>
    <mergeCell ref="R7:U7"/>
    <mergeCell ref="B9:U9"/>
    <mergeCell ref="B11:D13"/>
    <mergeCell ref="H11:I11"/>
    <mergeCell ref="H12:I12"/>
    <mergeCell ref="H13:I13"/>
    <mergeCell ref="L13:M14"/>
    <mergeCell ref="B15:U15"/>
    <mergeCell ref="AD24:AE24"/>
    <mergeCell ref="B1:U2"/>
    <mergeCell ref="R3:U3"/>
    <mergeCell ref="R4:U4"/>
    <mergeCell ref="R5:U5"/>
    <mergeCell ref="Q24:R24"/>
    <mergeCell ref="AG24:AH24"/>
    <mergeCell ref="K25:L25"/>
    <mergeCell ref="K26:L26"/>
    <mergeCell ref="B54:U54"/>
    <mergeCell ref="B28:U28"/>
    <mergeCell ref="Q44:R44"/>
    <mergeCell ref="D46:E46"/>
    <mergeCell ref="Q46:R46"/>
    <mergeCell ref="Y38:Z38"/>
    <mergeCell ref="Y40:Z40"/>
    <mergeCell ref="AL44:AM44"/>
    <mergeCell ref="Y46:Z46"/>
    <mergeCell ref="AL46:AM46"/>
    <mergeCell ref="Y44:Z44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U65"/>
  <sheetViews>
    <sheetView zoomScaleSheetLayoutView="100" workbookViewId="0" topLeftCell="A1">
      <selection activeCell="N9" sqref="N9"/>
    </sheetView>
  </sheetViews>
  <sheetFormatPr defaultColWidth="8.88671875" defaultRowHeight="13.5"/>
  <cols>
    <col min="1" max="37" width="3.77734375" style="2" customWidth="1"/>
    <col min="38" max="16384" width="8.88671875" style="2" customWidth="1"/>
  </cols>
  <sheetData>
    <row r="1" spans="2:21" ht="11.25" customHeight="1">
      <c r="B1" s="88" t="s">
        <v>128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</row>
    <row r="2" spans="2:21" ht="11.2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75"/>
    </row>
    <row r="3" spans="1:21" ht="11.25" customHeight="1">
      <c r="A3" s="3">
        <v>1</v>
      </c>
      <c r="B3" s="4" t="s">
        <v>129</v>
      </c>
      <c r="C3" s="5"/>
      <c r="D3" s="5"/>
      <c r="E3" s="56" t="e">
        <f>project</f>
        <v>#NAME?</v>
      </c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130</v>
      </c>
      <c r="Q3" s="11"/>
      <c r="R3" s="122" t="e">
        <f>jobno</f>
        <v>#NAME?</v>
      </c>
      <c r="S3" s="122"/>
      <c r="T3" s="122"/>
      <c r="U3" s="123"/>
    </row>
    <row r="4" spans="1:21" ht="11.25" customHeight="1">
      <c r="A4" s="3">
        <v>2</v>
      </c>
      <c r="B4" s="6" t="s">
        <v>131</v>
      </c>
      <c r="C4" s="7"/>
      <c r="D4" s="7"/>
      <c r="E4" s="30" t="e">
        <f>client</f>
        <v>#NAME?</v>
      </c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132</v>
      </c>
      <c r="Q4" s="7"/>
      <c r="R4" s="95" t="s">
        <v>133</v>
      </c>
      <c r="S4" s="95"/>
      <c r="T4" s="95"/>
      <c r="U4" s="96"/>
    </row>
    <row r="5" spans="1:21" ht="11.25" customHeight="1">
      <c r="A5" s="3">
        <v>3</v>
      </c>
      <c r="B5" s="6" t="s">
        <v>134</v>
      </c>
      <c r="C5" s="7"/>
      <c r="D5" s="7"/>
      <c r="E5" s="30" t="e">
        <f>contractor</f>
        <v>#NAME?</v>
      </c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135</v>
      </c>
      <c r="Q5" s="7"/>
      <c r="R5" s="87" t="s">
        <v>146</v>
      </c>
      <c r="S5" s="87"/>
      <c r="T5" s="87"/>
      <c r="U5" s="97"/>
    </row>
    <row r="6" spans="1:21" ht="11.25" customHeight="1">
      <c r="A6" s="3">
        <v>4</v>
      </c>
      <c r="B6" s="9" t="s">
        <v>136</v>
      </c>
      <c r="C6" s="8"/>
      <c r="D6" s="8"/>
      <c r="E6" s="57" t="e">
        <f>code</f>
        <v>#NAME?</v>
      </c>
      <c r="F6" s="8"/>
      <c r="G6" s="8"/>
      <c r="H6" s="8"/>
      <c r="I6" s="8"/>
      <c r="J6" s="8"/>
      <c r="K6" s="8"/>
      <c r="L6" s="8"/>
      <c r="M6" s="8"/>
      <c r="N6" s="8"/>
      <c r="O6" s="8"/>
      <c r="P6" s="26" t="s">
        <v>137</v>
      </c>
      <c r="Q6" s="26"/>
      <c r="R6" s="27">
        <v>0</v>
      </c>
      <c r="S6" s="28"/>
      <c r="T6" s="28"/>
      <c r="U6" s="29"/>
    </row>
    <row r="7" spans="1:21" ht="11.25" customHeight="1">
      <c r="A7" s="3">
        <v>5</v>
      </c>
      <c r="B7" s="10" t="s">
        <v>138</v>
      </c>
      <c r="C7" s="11"/>
      <c r="D7" s="11"/>
      <c r="E7" s="58" t="e">
        <f>service</f>
        <v>#NAME?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139</v>
      </c>
      <c r="Q7" s="11"/>
      <c r="R7" s="124" t="e">
        <f>itemno</f>
        <v>#NAME?</v>
      </c>
      <c r="S7" s="124"/>
      <c r="T7" s="124"/>
      <c r="U7" s="125"/>
    </row>
    <row r="8" spans="1:21" ht="11.25" customHeight="1">
      <c r="A8" s="3">
        <v>6</v>
      </c>
      <c r="B8" s="6" t="s">
        <v>140</v>
      </c>
      <c r="C8" s="7"/>
      <c r="D8" s="7"/>
      <c r="E8" s="30" t="e">
        <f>type</f>
        <v>#NAME?</v>
      </c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12"/>
    </row>
    <row r="9" spans="1:21" ht="11.25" customHeight="1">
      <c r="A9" s="3">
        <v>7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2"/>
    </row>
    <row r="10" spans="1:21" ht="11.25" customHeight="1">
      <c r="A10" s="3">
        <v>8</v>
      </c>
      <c r="B10" s="78" t="s">
        <v>141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</row>
    <row r="11" spans="1:21" ht="11.25" customHeight="1">
      <c r="A11" s="3">
        <v>9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3"/>
    </row>
    <row r="12" spans="1:21" ht="11.25" customHeight="1">
      <c r="A12" s="3">
        <v>10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</row>
    <row r="13" spans="1:21" ht="11.25" customHeight="1">
      <c r="A13" s="3">
        <v>11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</row>
    <row r="14" spans="1:21" ht="11.25" customHeight="1">
      <c r="A14" s="3">
        <v>12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</row>
    <row r="15" spans="1:21" ht="11.25" customHeight="1">
      <c r="A15" s="3">
        <v>13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</row>
    <row r="16" spans="1:21" ht="11.25" customHeight="1">
      <c r="A16" s="3">
        <v>14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</row>
    <row r="17" spans="1:21" ht="11.25" customHeight="1">
      <c r="A17" s="3">
        <v>15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</row>
    <row r="18" spans="1:21" ht="11.25" customHeight="1">
      <c r="A18" s="3">
        <v>16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</row>
    <row r="19" spans="1:21" ht="11.25" customHeight="1">
      <c r="A19" s="3">
        <v>17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</row>
    <row r="20" spans="1:21" ht="11.25" customHeight="1">
      <c r="A20" s="3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</row>
    <row r="21" spans="1:21" ht="11.25" customHeight="1">
      <c r="A21" s="3">
        <v>19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</row>
    <row r="22" spans="1:21" ht="11.25" customHeight="1">
      <c r="A22" s="3">
        <v>20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</row>
    <row r="23" spans="1:21" ht="11.25" customHeight="1">
      <c r="A23" s="3">
        <v>21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</row>
    <row r="24" spans="1:21" ht="11.25" customHeight="1">
      <c r="A24" s="3">
        <v>22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</row>
    <row r="25" spans="1:21" ht="11.25" customHeight="1">
      <c r="A25" s="3">
        <v>23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</row>
    <row r="26" spans="1:21" ht="11.25" customHeight="1">
      <c r="A26" s="3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</row>
    <row r="27" spans="1:21" ht="11.25" customHeight="1">
      <c r="A27" s="3">
        <v>25</v>
      </c>
      <c r="B27" s="78" t="s">
        <v>141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</row>
    <row r="28" spans="1:21" ht="11.25" customHeight="1">
      <c r="A28" s="3">
        <v>26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"/>
    </row>
    <row r="29" spans="1:21" ht="11.25" customHeight="1">
      <c r="A29" s="3">
        <v>27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</row>
    <row r="30" spans="1:21" ht="11.25" customHeight="1">
      <c r="A30" s="3">
        <v>28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</row>
    <row r="31" spans="1:21" ht="11.25" customHeight="1">
      <c r="A31" s="3">
        <v>29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</row>
    <row r="32" spans="1:21" ht="11.25" customHeight="1">
      <c r="A32" s="3">
        <v>30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1.25" customHeight="1">
      <c r="A33" s="3">
        <v>31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1.25" customHeight="1">
      <c r="A34" s="3">
        <v>32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"/>
    </row>
    <row r="35" spans="1:21" ht="11.25" customHeight="1">
      <c r="A35" s="3">
        <v>33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1.25" customHeight="1">
      <c r="A36" s="3">
        <v>34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</row>
    <row r="37" spans="1:21" ht="11.25" customHeight="1">
      <c r="A37" s="3">
        <v>35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1.25" customHeight="1">
      <c r="A38" s="3">
        <v>36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1.25" customHeight="1">
      <c r="A39" s="3">
        <v>37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</row>
    <row r="40" spans="1:21" ht="11.25" customHeight="1">
      <c r="A40" s="3">
        <v>38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1.25" customHeight="1">
      <c r="A41" s="3">
        <v>39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1.25" customHeight="1">
      <c r="A42" s="3">
        <v>40</v>
      </c>
      <c r="B42" s="78" t="s">
        <v>141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</row>
    <row r="43" spans="1:21" ht="11.25" customHeight="1">
      <c r="A43" s="3">
        <v>41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1.25" customHeight="1">
      <c r="A44" s="3">
        <v>42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</row>
    <row r="45" spans="1:21" ht="11.25" customHeight="1">
      <c r="A45" s="3">
        <v>43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1.25" customHeight="1">
      <c r="A46" s="3">
        <v>44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</row>
    <row r="47" spans="1:21" ht="11.25" customHeight="1">
      <c r="A47" s="3">
        <v>45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1.25" customHeight="1">
      <c r="A48" s="3">
        <v>46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1.25" customHeight="1">
      <c r="A49" s="3">
        <v>47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1.25" customHeight="1">
      <c r="A50" s="3">
        <v>48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</row>
    <row r="51" spans="1:21" ht="11.25" customHeight="1">
      <c r="A51" s="3">
        <v>49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</row>
    <row r="52" spans="1:21" ht="11.25" customHeight="1">
      <c r="A52" s="3">
        <v>50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</row>
    <row r="53" spans="1:21" ht="11.25" customHeight="1">
      <c r="A53" s="3">
        <v>51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</row>
    <row r="54" spans="1:21" ht="11.25" customHeight="1">
      <c r="A54" s="3">
        <v>52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</row>
    <row r="55" spans="1:21" ht="11.25" customHeight="1">
      <c r="A55" s="3">
        <v>53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</row>
    <row r="56" spans="1:21" ht="11.25" customHeight="1">
      <c r="A56" s="3">
        <v>54</v>
      </c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2"/>
    </row>
    <row r="57" spans="1:21" ht="11.25" customHeight="1">
      <c r="A57" s="3">
        <v>55</v>
      </c>
      <c r="B57" s="14" t="s">
        <v>142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5"/>
    </row>
    <row r="58" spans="1:21" ht="11.25" customHeight="1">
      <c r="A58" s="3">
        <v>56</v>
      </c>
      <c r="B58" s="59" t="s">
        <v>143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</row>
    <row r="59" spans="1:21" ht="11.25" customHeight="1">
      <c r="A59" s="3">
        <v>57</v>
      </c>
      <c r="B59" s="59" t="s">
        <v>125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</row>
    <row r="60" spans="1:21" ht="11.25" customHeight="1">
      <c r="A60" s="3">
        <v>58</v>
      </c>
      <c r="B60" s="59" t="s">
        <v>126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</row>
    <row r="61" spans="1:21" ht="11.25" customHeight="1">
      <c r="A61" s="3">
        <v>59</v>
      </c>
      <c r="B61" s="59" t="s">
        <v>127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</row>
    <row r="62" spans="1:21" ht="11.25" customHeight="1">
      <c r="A62" s="16">
        <v>60</v>
      </c>
      <c r="B62" s="60" t="s">
        <v>144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</row>
    <row r="63" spans="1:21" ht="11.25" customHeight="1">
      <c r="A63" s="3"/>
      <c r="B63" s="19" t="e">
        <f>cosymbol</f>
        <v>#NAME?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61" t="e">
        <f>coname</f>
        <v>#NAME?</v>
      </c>
    </row>
    <row r="64" ht="11.25" customHeight="1">
      <c r="A64" s="3"/>
    </row>
    <row r="65" ht="11.25" customHeight="1">
      <c r="A65" s="3"/>
    </row>
  </sheetData>
  <mergeCells count="8">
    <mergeCell ref="R7:U7"/>
    <mergeCell ref="B10:U10"/>
    <mergeCell ref="B27:U27"/>
    <mergeCell ref="B42:U42"/>
    <mergeCell ref="B1:U2"/>
    <mergeCell ref="R3:U3"/>
    <mergeCell ref="R4:U4"/>
    <mergeCell ref="R5:U5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2013-04-09T16:56:04Z</cp:lastPrinted>
  <dcterms:created xsi:type="dcterms:W3CDTF">2003-02-24T11:18:01Z</dcterms:created>
  <dcterms:modified xsi:type="dcterms:W3CDTF">2015-10-14T05:51:12Z</dcterms:modified>
  <cp:category/>
  <cp:version/>
  <cp:contentType/>
  <cp:contentStatus/>
</cp:coreProperties>
</file>